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255" yWindow="6375" windowWidth="15480" windowHeight="5670" activeTab="4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25725"/>
</workbook>
</file>

<file path=xl/calcChain.xml><?xml version="1.0" encoding="utf-8"?>
<calcChain xmlns="http://schemas.openxmlformats.org/spreadsheetml/2006/main">
  <c r="T667" i="1"/>
  <c r="S667"/>
  <c r="T640"/>
  <c r="S640"/>
  <c r="AV293"/>
  <c r="AV290"/>
  <c r="AV289"/>
  <c r="AV286"/>
  <c r="AV667"/>
  <c r="AV640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 s="1"/>
  <c r="C8" s="1"/>
  <c r="C9" s="1"/>
  <c r="C10" s="1"/>
  <c r="C15" s="1"/>
  <c r="C16" s="1"/>
  <c r="C20" s="1"/>
  <c r="C23" s="1"/>
  <c r="C27" s="1"/>
  <c r="C33" s="1"/>
  <c r="C38" s="1"/>
  <c r="C44" s="1"/>
  <c r="C49" s="1"/>
  <c r="C52" s="1"/>
  <c r="C55" s="1"/>
  <c r="C61" s="1"/>
  <c r="C62" s="1"/>
  <c r="C68" s="1"/>
  <c r="C71" s="1"/>
  <c r="C73" s="1"/>
  <c r="C74" s="1"/>
  <c r="C76" s="1"/>
  <c r="C82" s="1"/>
  <c r="C87" s="1"/>
  <c r="C89" s="1"/>
  <c r="C95" s="1"/>
  <c r="C102" s="1"/>
  <c r="C105" s="1"/>
  <c r="C112" s="1"/>
  <c r="C114" s="1"/>
  <c r="C119" s="1"/>
  <c r="C123" s="1"/>
  <c r="C127" s="1"/>
  <c r="C128" s="1"/>
  <c r="C131" s="1"/>
  <c r="C132" s="1"/>
  <c r="C133" s="1"/>
  <c r="C137" s="1"/>
  <c r="C140" s="1"/>
  <c r="C142" s="1"/>
  <c r="C143" s="1"/>
  <c r="C147" s="1"/>
  <c r="C149" s="1"/>
  <c r="C151" s="1"/>
  <c r="C154" s="1"/>
  <c r="C157" s="1"/>
  <c r="C160" s="1"/>
  <c r="C166" s="1"/>
  <c r="C172" s="1"/>
  <c r="C174" s="1"/>
  <c r="C176" s="1"/>
  <c r="C182" s="1"/>
  <c r="C187" s="1"/>
  <c r="C193" s="1"/>
  <c r="C195" s="1"/>
  <c r="C198" s="1"/>
  <c r="C204" s="1"/>
  <c r="C207" s="1"/>
  <c r="C211" s="1"/>
  <c r="C216" s="1"/>
  <c r="C219" s="1"/>
  <c r="C226" s="1"/>
  <c r="C229" s="1"/>
  <c r="C232" s="1"/>
  <c r="C236" s="1"/>
  <c r="C239" s="1"/>
  <c r="C241" s="1"/>
  <c r="C243" s="1"/>
  <c r="C245" s="1"/>
  <c r="C247" s="1"/>
  <c r="C250" s="1"/>
  <c r="C251" s="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 s="1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AA409" i="1" s="1"/>
  <c r="S409" i="20"/>
  <c r="Z409" i="1" s="1"/>
  <c r="T408" i="20"/>
  <c r="S408"/>
  <c r="V408" s="1"/>
  <c r="T407"/>
  <c r="AA407" i="1" s="1"/>
  <c r="S407" i="20"/>
  <c r="V407" s="1"/>
  <c r="T406"/>
  <c r="AA406" i="1" s="1"/>
  <c r="S406" i="20"/>
  <c r="V406" s="1"/>
  <c r="T405"/>
  <c r="AA405" i="1" s="1"/>
  <c r="S405" i="20"/>
  <c r="V405" s="1"/>
  <c r="T404"/>
  <c r="AA404" i="1" s="1"/>
  <c r="S404" i="20"/>
  <c r="V404" s="1"/>
  <c r="T403"/>
  <c r="AA403" i="1" s="1"/>
  <c r="S403" i="20"/>
  <c r="Z403" i="1" s="1"/>
  <c r="AO403" s="1"/>
  <c r="T402" i="20"/>
  <c r="AA402" i="1" s="1"/>
  <c r="S402" i="20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S115"/>
  <c r="T114"/>
  <c r="S112"/>
  <c r="S111"/>
  <c r="S110"/>
  <c r="S109"/>
  <c r="S108"/>
  <c r="S107"/>
  <c r="S106"/>
  <c r="S105"/>
  <c r="S104"/>
  <c r="S103"/>
  <c r="T101"/>
  <c r="AA101" i="1" s="1"/>
  <c r="T100" i="20"/>
  <c r="AA100" i="1" s="1"/>
  <c r="T99" i="20"/>
  <c r="T98"/>
  <c r="AA98" i="1" s="1"/>
  <c r="T97" i="20"/>
  <c r="AA97" i="1" s="1"/>
  <c r="T96" i="20"/>
  <c r="AA96" i="1" s="1"/>
  <c r="T95" i="20"/>
  <c r="AA95" i="1" s="1"/>
  <c r="T94" i="20"/>
  <c r="AA94" i="1" s="1"/>
  <c r="AP94" s="1"/>
  <c r="S89" i="20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29" s="1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 s="1"/>
  <c r="X53"/>
  <c r="AM53" s="1"/>
  <c r="AS53" s="1"/>
  <c r="AL53"/>
  <c r="AR53" s="1"/>
  <c r="T53"/>
  <c r="AV52"/>
  <c r="Z52"/>
  <c r="Y52"/>
  <c r="AN52" s="1"/>
  <c r="X52"/>
  <c r="AM52" s="1"/>
  <c r="AL52"/>
  <c r="T52"/>
  <c r="AV51"/>
  <c r="Z51"/>
  <c r="Y51"/>
  <c r="AN51" s="1"/>
  <c r="X51"/>
  <c r="AM51" s="1"/>
  <c r="AL51"/>
  <c r="AR51" s="1"/>
  <c r="T51"/>
  <c r="AV50"/>
  <c r="Z50"/>
  <c r="Y50"/>
  <c r="AN50" s="1"/>
  <c r="X50"/>
  <c r="AM50" s="1"/>
  <c r="AL50"/>
  <c r="AR50" s="1"/>
  <c r="T50"/>
  <c r="AV49"/>
  <c r="Z49"/>
  <c r="Y49"/>
  <c r="AN49" s="1"/>
  <c r="X49"/>
  <c r="AM49" s="1"/>
  <c r="AL49"/>
  <c r="AR49" s="1"/>
  <c r="T49"/>
  <c r="AV48"/>
  <c r="Z48"/>
  <c r="Y48"/>
  <c r="AN48" s="1"/>
  <c r="X48"/>
  <c r="AM48" s="1"/>
  <c r="AL48"/>
  <c r="AR48" s="1"/>
  <c r="T48"/>
  <c r="AV47"/>
  <c r="Z47"/>
  <c r="Y47"/>
  <c r="AN47" s="1"/>
  <c r="X47"/>
  <c r="AM47" s="1"/>
  <c r="AL47"/>
  <c r="AR47" s="1"/>
  <c r="T47"/>
  <c r="AV46"/>
  <c r="Z46"/>
  <c r="Y46"/>
  <c r="AN46" s="1"/>
  <c r="X46"/>
  <c r="AM46" s="1"/>
  <c r="AL46"/>
  <c r="AR46" s="1"/>
  <c r="T46"/>
  <c r="AV45"/>
  <c r="Z45"/>
  <c r="Y45"/>
  <c r="AN45" s="1"/>
  <c r="X45"/>
  <c r="AM45" s="1"/>
  <c r="AL45"/>
  <c r="AR45" s="1"/>
  <c r="T45"/>
  <c r="AV44"/>
  <c r="Z44"/>
  <c r="Y44"/>
  <c r="AN44" s="1"/>
  <c r="X44"/>
  <c r="AM44" s="1"/>
  <c r="AL44"/>
  <c r="AR44" s="1"/>
  <c r="T44"/>
  <c r="AV43"/>
  <c r="Z43"/>
  <c r="Y43"/>
  <c r="AN43" s="1"/>
  <c r="X43"/>
  <c r="AM43" s="1"/>
  <c r="AL43"/>
  <c r="AR43" s="1"/>
  <c r="T43"/>
  <c r="AV42"/>
  <c r="Z42"/>
  <c r="Y42"/>
  <c r="AN42" s="1"/>
  <c r="X42"/>
  <c r="AM42" s="1"/>
  <c r="AL42"/>
  <c r="AR42" s="1"/>
  <c r="T42"/>
  <c r="AV41"/>
  <c r="Z41"/>
  <c r="Y41"/>
  <c r="AN41" s="1"/>
  <c r="X41"/>
  <c r="AM41" s="1"/>
  <c r="AL41"/>
  <c r="AR41" s="1"/>
  <c r="T41"/>
  <c r="AV40"/>
  <c r="Z40"/>
  <c r="Y40"/>
  <c r="AN40" s="1"/>
  <c r="X40"/>
  <c r="AM40" s="1"/>
  <c r="AL40"/>
  <c r="AR40" s="1"/>
  <c r="T40"/>
  <c r="AV39"/>
  <c r="Z39"/>
  <c r="Y39"/>
  <c r="AN39" s="1"/>
  <c r="X39"/>
  <c r="AM39" s="1"/>
  <c r="AL39"/>
  <c r="AR39" s="1"/>
  <c r="T39"/>
  <c r="AV38"/>
  <c r="Z38"/>
  <c r="Y38"/>
  <c r="AN38" s="1"/>
  <c r="X38"/>
  <c r="AM38" s="1"/>
  <c r="AL38"/>
  <c r="AR38" s="1"/>
  <c r="T38"/>
  <c r="AV37"/>
  <c r="Z37"/>
  <c r="Y37"/>
  <c r="AN37" s="1"/>
  <c r="X37"/>
  <c r="AM37" s="1"/>
  <c r="AL37"/>
  <c r="AR37" s="1"/>
  <c r="T37"/>
  <c r="AV36"/>
  <c r="Z36"/>
  <c r="Y36"/>
  <c r="AN36" s="1"/>
  <c r="X36"/>
  <c r="AM36" s="1"/>
  <c r="AL36"/>
  <c r="T36"/>
  <c r="AV35"/>
  <c r="Z35"/>
  <c r="Y35"/>
  <c r="AN35" s="1"/>
  <c r="X35"/>
  <c r="AM35" s="1"/>
  <c r="AL35"/>
  <c r="T35"/>
  <c r="AV34"/>
  <c r="Z34"/>
  <c r="Y34"/>
  <c r="AN34" s="1"/>
  <c r="X34"/>
  <c r="AM34" s="1"/>
  <c r="AL34"/>
  <c r="T34"/>
  <c r="AV33"/>
  <c r="Z33"/>
  <c r="Y33"/>
  <c r="AN33" s="1"/>
  <c r="X33"/>
  <c r="AM33" s="1"/>
  <c r="AL33"/>
  <c r="T33"/>
  <c r="AV32"/>
  <c r="Z32"/>
  <c r="Y32"/>
  <c r="AN32" s="1"/>
  <c r="X32"/>
  <c r="AM32" s="1"/>
  <c r="AL32"/>
  <c r="AR32" s="1"/>
  <c r="T32"/>
  <c r="AV31"/>
  <c r="Z31"/>
  <c r="Y31"/>
  <c r="AN31" s="1"/>
  <c r="X31"/>
  <c r="AM31" s="1"/>
  <c r="AL31"/>
  <c r="AR31" s="1"/>
  <c r="T31"/>
  <c r="AV30"/>
  <c r="Z30"/>
  <c r="Y30"/>
  <c r="AN30" s="1"/>
  <c r="X30"/>
  <c r="AM30" s="1"/>
  <c r="AL30"/>
  <c r="AR30" s="1"/>
  <c r="T30"/>
  <c r="AV29"/>
  <c r="Z29"/>
  <c r="Y29"/>
  <c r="AN29" s="1"/>
  <c r="X29"/>
  <c r="AM29" s="1"/>
  <c r="AL29"/>
  <c r="AR29" s="1"/>
  <c r="T29"/>
  <c r="AV28"/>
  <c r="Z28"/>
  <c r="Y28"/>
  <c r="AN28" s="1"/>
  <c r="X28"/>
  <c r="AM28" s="1"/>
  <c r="AL28"/>
  <c r="AR28" s="1"/>
  <c r="T28"/>
  <c r="AV27"/>
  <c r="Z27"/>
  <c r="Y27"/>
  <c r="AN27" s="1"/>
  <c r="X27"/>
  <c r="AM27" s="1"/>
  <c r="AL27"/>
  <c r="AR27" s="1"/>
  <c r="T27"/>
  <c r="AV26"/>
  <c r="AV179"/>
  <c r="AV93"/>
  <c r="AV92"/>
  <c r="AV91"/>
  <c r="AV90"/>
  <c r="AV16"/>
  <c r="AA53"/>
  <c r="AP53" s="1"/>
  <c r="AT53" s="1"/>
  <c r="AR52"/>
  <c r="AR33"/>
  <c r="AR34"/>
  <c r="AR35"/>
  <c r="AR36"/>
  <c r="M97" i="4"/>
  <c r="H97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S829" i="25"/>
  <c r="V884" i="27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 s="1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 s="1"/>
  <c r="E326"/>
  <c r="I326" s="1"/>
  <c r="E325"/>
  <c r="I325" s="1"/>
  <c r="E324"/>
  <c r="I324" s="1"/>
  <c r="E323"/>
  <c r="I323" s="1"/>
  <c r="E345"/>
  <c r="I345" s="1"/>
  <c r="E344"/>
  <c r="I344" s="1"/>
  <c r="E343"/>
  <c r="I343" s="1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E355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 s="1"/>
  <c r="C125" s="1"/>
  <c r="C117"/>
  <c r="C118"/>
  <c r="C119" s="1"/>
  <c r="C120" s="1"/>
  <c r="C114"/>
  <c r="C115"/>
  <c r="C112"/>
  <c r="C110"/>
  <c r="C104"/>
  <c r="C102"/>
  <c r="C97"/>
  <c r="C98"/>
  <c r="C87"/>
  <c r="C88"/>
  <c r="C89" s="1"/>
  <c r="C90" s="1"/>
  <c r="C91" s="1"/>
  <c r="C92" s="1"/>
  <c r="C93" s="1"/>
  <c r="C94" s="1"/>
  <c r="C83"/>
  <c r="C84"/>
  <c r="C85" s="1"/>
  <c r="C78"/>
  <c r="C79" s="1"/>
  <c r="C69"/>
  <c r="C70" s="1"/>
  <c r="C71" s="1"/>
  <c r="C72" s="1"/>
  <c r="C73" s="1"/>
  <c r="C74" s="1"/>
  <c r="C75" s="1"/>
  <c r="C76" s="1"/>
  <c r="H97" i="8"/>
  <c r="D96"/>
  <c r="D96" i="4"/>
  <c r="E130" i="39"/>
  <c r="D130"/>
  <c r="S15" i="36"/>
  <c r="R15" s="1"/>
  <c r="S13"/>
  <c r="R13" s="1"/>
  <c r="D53" i="39"/>
  <c r="C42"/>
  <c r="C43" s="1"/>
  <c r="C44" s="1"/>
  <c r="C45" s="1"/>
  <c r="C46" s="1"/>
  <c r="C47" s="1"/>
  <c r="C48" s="1"/>
  <c r="C49" s="1"/>
  <c r="E5"/>
  <c r="D5"/>
  <c r="M116" i="30"/>
  <c r="D115" i="29"/>
  <c r="D115" i="30"/>
  <c r="M97" i="8"/>
  <c r="M116" i="29"/>
  <c r="AH116" i="1"/>
  <c r="N2"/>
  <c r="N4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 s="1"/>
  <c r="H61" i="29"/>
  <c r="H61" i="30" s="1"/>
  <c r="E61" i="29"/>
  <c r="E61" i="30" s="1"/>
  <c r="K51" i="29"/>
  <c r="H51"/>
  <c r="E51"/>
  <c r="Q36" i="8"/>
  <c r="Q62" s="1"/>
  <c r="Q35"/>
  <c r="Q74" s="1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4" i="4"/>
  <c r="Q105"/>
  <c r="K19" i="29"/>
  <c r="K29"/>
  <c r="K29" i="30" s="1"/>
  <c r="H19" i="29"/>
  <c r="H29"/>
  <c r="H29" i="30" s="1"/>
  <c r="E29" i="29"/>
  <c r="E29" i="30" s="1"/>
  <c r="E19" i="29"/>
  <c r="K21"/>
  <c r="H21"/>
  <c r="E21"/>
  <c r="N21" s="1"/>
  <c r="K75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N30" s="1"/>
  <c r="J66" i="7"/>
  <c r="J67"/>
  <c r="J90" s="1"/>
  <c r="D66"/>
  <c r="D67" s="1"/>
  <c r="B59"/>
  <c r="B60" s="1"/>
  <c r="B61" s="1"/>
  <c r="B62" s="1"/>
  <c r="B63" s="1"/>
  <c r="B64" s="1"/>
  <c r="B65" s="1"/>
  <c r="B66" s="1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 s="1"/>
  <c r="B107" s="1"/>
  <c r="B98"/>
  <c r="B99" s="1"/>
  <c r="B100" s="1"/>
  <c r="B101" s="1"/>
  <c r="B93"/>
  <c r="B94" s="1"/>
  <c r="B89"/>
  <c r="B84"/>
  <c r="B69"/>
  <c r="B65"/>
  <c r="B56"/>
  <c r="B57" s="1"/>
  <c r="B44"/>
  <c r="B45" s="1"/>
  <c r="B46" s="1"/>
  <c r="B47" s="1"/>
  <c r="B48" s="1"/>
  <c r="B49" s="1"/>
  <c r="B50" s="1"/>
  <c r="B51" s="1"/>
  <c r="B35"/>
  <c r="B36" s="1"/>
  <c r="B37" s="1"/>
  <c r="B25"/>
  <c r="B26"/>
  <c r="B14"/>
  <c r="B15"/>
  <c r="B16" s="1"/>
  <c r="B17" s="1"/>
  <c r="B18" s="1"/>
  <c r="B19" s="1"/>
  <c r="B105" i="29"/>
  <c r="B106"/>
  <c r="B107" s="1"/>
  <c r="B108" s="1"/>
  <c r="B98"/>
  <c r="B99"/>
  <c r="B100" s="1"/>
  <c r="B101" s="1"/>
  <c r="B93"/>
  <c r="B94"/>
  <c r="B89"/>
  <c r="B84"/>
  <c r="B69"/>
  <c r="B65"/>
  <c r="B56"/>
  <c r="B57"/>
  <c r="B44"/>
  <c r="B45"/>
  <c r="B46" s="1"/>
  <c r="B47" s="1"/>
  <c r="B48" s="1"/>
  <c r="B49" s="1"/>
  <c r="B50" s="1"/>
  <c r="B51" s="1"/>
  <c r="B35"/>
  <c r="B36"/>
  <c r="B37" s="1"/>
  <c r="B25"/>
  <c r="B26" s="1"/>
  <c r="B14"/>
  <c r="B15" s="1"/>
  <c r="B16" s="1"/>
  <c r="B17" s="1"/>
  <c r="B18" s="1"/>
  <c r="B19" s="1"/>
  <c r="B20" s="1"/>
  <c r="B21" s="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 s="1"/>
  <c r="Y882"/>
  <c r="X882"/>
  <c r="Y881"/>
  <c r="X881"/>
  <c r="AM881" s="1"/>
  <c r="AS881" s="1"/>
  <c r="Y880"/>
  <c r="X880"/>
  <c r="Y879"/>
  <c r="X879"/>
  <c r="AM879" s="1"/>
  <c r="Y878"/>
  <c r="X878"/>
  <c r="AR878"/>
  <c r="Y877"/>
  <c r="X877"/>
  <c r="AM877" s="1"/>
  <c r="Y876"/>
  <c r="X876"/>
  <c r="AR876"/>
  <c r="Z875"/>
  <c r="Y875"/>
  <c r="X875"/>
  <c r="AM875" s="1"/>
  <c r="Z874"/>
  <c r="Y874"/>
  <c r="X874"/>
  <c r="Z873"/>
  <c r="Y873"/>
  <c r="X873"/>
  <c r="AM873"/>
  <c r="Z872"/>
  <c r="Y872"/>
  <c r="X872"/>
  <c r="Z871"/>
  <c r="Y871"/>
  <c r="X871"/>
  <c r="AM871" s="1"/>
  <c r="Z870"/>
  <c r="Y870"/>
  <c r="X870"/>
  <c r="Z869"/>
  <c r="Y869"/>
  <c r="X869"/>
  <c r="AM869" s="1"/>
  <c r="Z868"/>
  <c r="Y868"/>
  <c r="X868"/>
  <c r="AA867"/>
  <c r="Y867"/>
  <c r="X867"/>
  <c r="AM867" s="1"/>
  <c r="AA866"/>
  <c r="Y866"/>
  <c r="X866"/>
  <c r="AK866"/>
  <c r="AA865"/>
  <c r="Y865"/>
  <c r="X865"/>
  <c r="AM865"/>
  <c r="AA864"/>
  <c r="Y864"/>
  <c r="X864"/>
  <c r="AK864"/>
  <c r="AA863"/>
  <c r="Y863"/>
  <c r="X863"/>
  <c r="AM863"/>
  <c r="AA862"/>
  <c r="Y862"/>
  <c r="X862"/>
  <c r="AK862"/>
  <c r="AA861"/>
  <c r="Y861"/>
  <c r="X861"/>
  <c r="AM861"/>
  <c r="AA860"/>
  <c r="Y860"/>
  <c r="X860"/>
  <c r="AK860"/>
  <c r="AR860" s="1"/>
  <c r="AA859"/>
  <c r="Y859"/>
  <c r="X859"/>
  <c r="AM859" s="1"/>
  <c r="AA858"/>
  <c r="Y858"/>
  <c r="X858"/>
  <c r="AK858"/>
  <c r="Y857"/>
  <c r="X857"/>
  <c r="AM857" s="1"/>
  <c r="Y856"/>
  <c r="X856"/>
  <c r="Y855"/>
  <c r="X855"/>
  <c r="AM855"/>
  <c r="Y854"/>
  <c r="X854"/>
  <c r="Y853"/>
  <c r="X853"/>
  <c r="AM853" s="1"/>
  <c r="Y852"/>
  <c r="X852"/>
  <c r="AR852"/>
  <c r="Y851"/>
  <c r="X851"/>
  <c r="AM851" s="1"/>
  <c r="Y850"/>
  <c r="X850"/>
  <c r="Y849"/>
  <c r="X849"/>
  <c r="AM849" s="1"/>
  <c r="Z848"/>
  <c r="Y848"/>
  <c r="X848"/>
  <c r="AA847"/>
  <c r="Z847"/>
  <c r="Y847"/>
  <c r="X847"/>
  <c r="AM847" s="1"/>
  <c r="AA846"/>
  <c r="Y846"/>
  <c r="X846"/>
  <c r="Z845"/>
  <c r="Y845"/>
  <c r="X845"/>
  <c r="AM845" s="1"/>
  <c r="Z844"/>
  <c r="Y844"/>
  <c r="AN844" s="1"/>
  <c r="X844"/>
  <c r="Z843"/>
  <c r="Y843"/>
  <c r="X843"/>
  <c r="AM843" s="1"/>
  <c r="Z842"/>
  <c r="Y842"/>
  <c r="AN842" s="1"/>
  <c r="X842"/>
  <c r="AA841"/>
  <c r="Y841"/>
  <c r="X841"/>
  <c r="AM841" s="1"/>
  <c r="AA840"/>
  <c r="Y840"/>
  <c r="AN840" s="1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X836"/>
  <c r="Z835"/>
  <c r="Y835"/>
  <c r="X835"/>
  <c r="AM835" s="1"/>
  <c r="AA834"/>
  <c r="Y834"/>
  <c r="AN834" s="1"/>
  <c r="X834"/>
  <c r="AK834"/>
  <c r="AR834" s="1"/>
  <c r="AA833"/>
  <c r="Y833"/>
  <c r="X833"/>
  <c r="AM833" s="1"/>
  <c r="AA832"/>
  <c r="Y832"/>
  <c r="AN832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X819"/>
  <c r="Y818"/>
  <c r="X818"/>
  <c r="AM818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X807"/>
  <c r="Y806"/>
  <c r="X806"/>
  <c r="Y805"/>
  <c r="X805"/>
  <c r="Y804"/>
  <c r="X804"/>
  <c r="Y803"/>
  <c r="X803"/>
  <c r="Y802"/>
  <c r="X802"/>
  <c r="Y801"/>
  <c r="X801"/>
  <c r="Y800"/>
  <c r="X800"/>
  <c r="Y799"/>
  <c r="X799"/>
  <c r="Y798"/>
  <c r="X798"/>
  <c r="Y797"/>
  <c r="X797"/>
  <c r="Y796"/>
  <c r="X796"/>
  <c r="Y795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X760"/>
  <c r="Y759"/>
  <c r="X759"/>
  <c r="Y758"/>
  <c r="X758"/>
  <c r="Y757"/>
  <c r="X757"/>
  <c r="AR757"/>
  <c r="Y756"/>
  <c r="X756"/>
  <c r="Y755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 s="1"/>
  <c r="X742"/>
  <c r="Y741"/>
  <c r="X741"/>
  <c r="Y740"/>
  <c r="AN740" s="1"/>
  <c r="X740"/>
  <c r="Y739"/>
  <c r="X739"/>
  <c r="Y738"/>
  <c r="X738"/>
  <c r="Y737"/>
  <c r="AN737" s="1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X717"/>
  <c r="Y716"/>
  <c r="X716"/>
  <c r="Y715"/>
  <c r="AN715" s="1"/>
  <c r="X715"/>
  <c r="Y714"/>
  <c r="X714"/>
  <c r="Y713"/>
  <c r="X713"/>
  <c r="Y712"/>
  <c r="X712"/>
  <c r="Y711"/>
  <c r="AN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 s="1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 s="1"/>
  <c r="AS546" s="1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/>
  <c r="X517"/>
  <c r="AR517"/>
  <c r="Y516"/>
  <c r="X516"/>
  <c r="AM516" s="1"/>
  <c r="Y515"/>
  <c r="X515"/>
  <c r="AR515"/>
  <c r="Y514"/>
  <c r="X514"/>
  <c r="AM514" s="1"/>
  <c r="Y513"/>
  <c r="X513"/>
  <c r="Y512"/>
  <c r="X512"/>
  <c r="AM512" s="1"/>
  <c r="Y511"/>
  <c r="X511"/>
  <c r="AR511"/>
  <c r="Y510"/>
  <c r="X510"/>
  <c r="AM510" s="1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 s="1"/>
  <c r="Y493"/>
  <c r="X493"/>
  <c r="Y492"/>
  <c r="X492"/>
  <c r="AM492" s="1"/>
  <c r="Y491"/>
  <c r="X491"/>
  <c r="Y490"/>
  <c r="X490"/>
  <c r="Y489"/>
  <c r="X489"/>
  <c r="AR489"/>
  <c r="Y488"/>
  <c r="X488"/>
  <c r="AM488" s="1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X459"/>
  <c r="AR459"/>
  <c r="Y458"/>
  <c r="X458"/>
  <c r="Y457"/>
  <c r="X457"/>
  <c r="AR457"/>
  <c r="Y456"/>
  <c r="X456"/>
  <c r="Y455"/>
  <c r="X455"/>
  <c r="Y454"/>
  <c r="X454"/>
  <c r="Y453"/>
  <c r="AN453"/>
  <c r="X453"/>
  <c r="AR453"/>
  <c r="Y452"/>
  <c r="X452"/>
  <c r="Y451"/>
  <c r="AN451" s="1"/>
  <c r="X451"/>
  <c r="Y450"/>
  <c r="X450"/>
  <c r="Y449"/>
  <c r="AN449" s="1"/>
  <c r="X449"/>
  <c r="Y448"/>
  <c r="X448"/>
  <c r="Y447"/>
  <c r="AN447" s="1"/>
  <c r="X447"/>
  <c r="Y446"/>
  <c r="X446"/>
  <c r="Y445"/>
  <c r="AN445" s="1"/>
  <c r="X445"/>
  <c r="Y444"/>
  <c r="X444"/>
  <c r="Y443"/>
  <c r="AN443" s="1"/>
  <c r="X443"/>
  <c r="Y442"/>
  <c r="X442"/>
  <c r="AM442" s="1"/>
  <c r="Y441"/>
  <c r="X441"/>
  <c r="Y440"/>
  <c r="X440"/>
  <c r="AM440" s="1"/>
  <c r="Y439"/>
  <c r="X439"/>
  <c r="AR439"/>
  <c r="Y438"/>
  <c r="X438"/>
  <c r="Y437"/>
  <c r="X437"/>
  <c r="Y436"/>
  <c r="X436"/>
  <c r="Y435"/>
  <c r="X435"/>
  <c r="AR435"/>
  <c r="Y434"/>
  <c r="X434"/>
  <c r="AM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8"/>
  <c r="AR403"/>
  <c r="Y401"/>
  <c r="X401"/>
  <c r="AR401"/>
  <c r="Y400"/>
  <c r="X400"/>
  <c r="Y399"/>
  <c r="AN399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 s="1"/>
  <c r="Y382"/>
  <c r="X382"/>
  <c r="Z381"/>
  <c r="AO381" s="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Y365"/>
  <c r="X365"/>
  <c r="AK365"/>
  <c r="Z364"/>
  <c r="AO364" s="1"/>
  <c r="Y364"/>
  <c r="X364"/>
  <c r="AM364" s="1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 s="1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/>
  <c r="AA349"/>
  <c r="Y349"/>
  <c r="X349"/>
  <c r="AA348"/>
  <c r="Y348"/>
  <c r="X348"/>
  <c r="AK348"/>
  <c r="AA347"/>
  <c r="Y347"/>
  <c r="X347"/>
  <c r="AA346"/>
  <c r="Y346"/>
  <c r="X346"/>
  <c r="AM346" s="1"/>
  <c r="Y345"/>
  <c r="X345"/>
  <c r="Y344"/>
  <c r="X344"/>
  <c r="AA343"/>
  <c r="Y343"/>
  <c r="X343"/>
  <c r="AK343"/>
  <c r="AA342"/>
  <c r="Y342"/>
  <c r="X342"/>
  <c r="AM342" s="1"/>
  <c r="AK342"/>
  <c r="AA341"/>
  <c r="Y341"/>
  <c r="X341"/>
  <c r="AA340"/>
  <c r="Y340"/>
  <c r="X340"/>
  <c r="H32" i="4"/>
  <c r="AA339" i="1"/>
  <c r="Y339"/>
  <c r="X339"/>
  <c r="AK339"/>
  <c r="AR339" s="1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 s="1"/>
  <c r="Y327"/>
  <c r="X327"/>
  <c r="AA326"/>
  <c r="Y326"/>
  <c r="X326"/>
  <c r="AA325"/>
  <c r="Y325"/>
  <c r="X325"/>
  <c r="AK325"/>
  <c r="AR325" s="1"/>
  <c r="AA324"/>
  <c r="Y324"/>
  <c r="X324"/>
  <c r="AM324" s="1"/>
  <c r="AA323"/>
  <c r="Y323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 s="1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 s="1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X301"/>
  <c r="AK301"/>
  <c r="AA300"/>
  <c r="Y300"/>
  <c r="X300"/>
  <c r="AA299"/>
  <c r="Y299"/>
  <c r="X299"/>
  <c r="AK299"/>
  <c r="AA298"/>
  <c r="Y298"/>
  <c r="X298"/>
  <c r="AA297"/>
  <c r="Y297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A290"/>
  <c r="Y290"/>
  <c r="X290"/>
  <c r="W290"/>
  <c r="V290"/>
  <c r="AK290" s="1"/>
  <c r="AR290" s="1"/>
  <c r="AA289"/>
  <c r="Y289"/>
  <c r="X289"/>
  <c r="W289"/>
  <c r="V289"/>
  <c r="AA288"/>
  <c r="AP288" s="1"/>
  <c r="Y288"/>
  <c r="X288"/>
  <c r="W288"/>
  <c r="AL288" s="1"/>
  <c r="V288"/>
  <c r="AA287"/>
  <c r="AP287" s="1"/>
  <c r="W287"/>
  <c r="AL287" s="1"/>
  <c r="V287"/>
  <c r="AA286"/>
  <c r="Y286"/>
  <c r="X286"/>
  <c r="W286"/>
  <c r="V286"/>
  <c r="Z284"/>
  <c r="Y284"/>
  <c r="X284"/>
  <c r="AM284" s="1"/>
  <c r="AL284"/>
  <c r="AA283"/>
  <c r="Y283"/>
  <c r="X283"/>
  <c r="AK283"/>
  <c r="Y282"/>
  <c r="X282"/>
  <c r="Y281"/>
  <c r="X281"/>
  <c r="Y280"/>
  <c r="X280"/>
  <c r="Y279"/>
  <c r="X279"/>
  <c r="AK279"/>
  <c r="Y278"/>
  <c r="X278"/>
  <c r="AM278" s="1"/>
  <c r="Y277"/>
  <c r="X277"/>
  <c r="Y276"/>
  <c r="X276"/>
  <c r="Y275"/>
  <c r="X275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X266"/>
  <c r="Z265"/>
  <c r="Y265"/>
  <c r="X265"/>
  <c r="Z264"/>
  <c r="Y264"/>
  <c r="X264"/>
  <c r="Z263"/>
  <c r="Y263"/>
  <c r="X263"/>
  <c r="Z262"/>
  <c r="Y262"/>
  <c r="X262"/>
  <c r="Z261"/>
  <c r="Y261"/>
  <c r="X261"/>
  <c r="Z260"/>
  <c r="Y260"/>
  <c r="AN260" s="1"/>
  <c r="X260"/>
  <c r="Z259"/>
  <c r="Y259"/>
  <c r="X259"/>
  <c r="Z258"/>
  <c r="Y258"/>
  <c r="X258"/>
  <c r="Z257"/>
  <c r="Y257"/>
  <c r="X257"/>
  <c r="AA256"/>
  <c r="Y256"/>
  <c r="X256"/>
  <c r="AA255"/>
  <c r="Y255"/>
  <c r="X255"/>
  <c r="AK255"/>
  <c r="AR255"/>
  <c r="AA254"/>
  <c r="Y254"/>
  <c r="X254"/>
  <c r="AA253"/>
  <c r="Y253"/>
  <c r="X253"/>
  <c r="AK253"/>
  <c r="Z252"/>
  <c r="Y252"/>
  <c r="X252"/>
  <c r="Z251"/>
  <c r="Y251"/>
  <c r="X251"/>
  <c r="AA250"/>
  <c r="Y250"/>
  <c r="X250"/>
  <c r="AA249"/>
  <c r="Y249"/>
  <c r="X249"/>
  <c r="AK249"/>
  <c r="AA248"/>
  <c r="Y248"/>
  <c r="X248"/>
  <c r="AA247"/>
  <c r="Y247"/>
  <c r="X247"/>
  <c r="AK247"/>
  <c r="AA246"/>
  <c r="Y246"/>
  <c r="X246"/>
  <c r="AA245"/>
  <c r="Y245"/>
  <c r="X245"/>
  <c r="AK245"/>
  <c r="AR245" s="1"/>
  <c r="Z244"/>
  <c r="Y244"/>
  <c r="X244"/>
  <c r="AM244" s="1"/>
  <c r="Z243"/>
  <c r="Y243"/>
  <c r="X243"/>
  <c r="AL243"/>
  <c r="Z242"/>
  <c r="Y242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X229"/>
  <c r="AK229"/>
  <c r="Z228"/>
  <c r="Y228"/>
  <c r="X228"/>
  <c r="Z227"/>
  <c r="Y227"/>
  <c r="X227"/>
  <c r="Z226"/>
  <c r="Y226"/>
  <c r="X226"/>
  <c r="Z225"/>
  <c r="Y225"/>
  <c r="X225"/>
  <c r="Z224"/>
  <c r="Y224"/>
  <c r="X224"/>
  <c r="AA223"/>
  <c r="Y223"/>
  <c r="X223"/>
  <c r="Z222"/>
  <c r="Y222"/>
  <c r="X222"/>
  <c r="AA221"/>
  <c r="Y221"/>
  <c r="X22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 s="1"/>
  <c r="Y213"/>
  <c r="X213"/>
  <c r="Y212"/>
  <c r="X212"/>
  <c r="Y211"/>
  <c r="X211"/>
  <c r="Y210"/>
  <c r="X210"/>
  <c r="Y209"/>
  <c r="X209"/>
  <c r="Y208"/>
  <c r="X208"/>
  <c r="Y207"/>
  <c r="X207"/>
  <c r="Y206"/>
  <c r="X206"/>
  <c r="Y205"/>
  <c r="X205"/>
  <c r="Y204"/>
  <c r="X204"/>
  <c r="Y203"/>
  <c r="X203"/>
  <c r="Y202"/>
  <c r="X202"/>
  <c r="Y201"/>
  <c r="X201"/>
  <c r="Y200"/>
  <c r="X200"/>
  <c r="Y199"/>
  <c r="X199"/>
  <c r="Z198"/>
  <c r="AO198" s="1"/>
  <c r="Y198"/>
  <c r="X198"/>
  <c r="Z197"/>
  <c r="Y197"/>
  <c r="X197"/>
  <c r="AL197"/>
  <c r="AA196"/>
  <c r="Y196"/>
  <c r="X196"/>
  <c r="Z195"/>
  <c r="Y195"/>
  <c r="X195"/>
  <c r="Y194"/>
  <c r="X194"/>
  <c r="AM194" s="1"/>
  <c r="Y193"/>
  <c r="X193"/>
  <c r="Y192"/>
  <c r="X192"/>
  <c r="Y191"/>
  <c r="X191"/>
  <c r="Z190"/>
  <c r="Y190"/>
  <c r="X190"/>
  <c r="AA189"/>
  <c r="Y189"/>
  <c r="X189"/>
  <c r="AK189"/>
  <c r="AR189" s="1"/>
  <c r="AA188"/>
  <c r="Y188"/>
  <c r="X188"/>
  <c r="Z187"/>
  <c r="Y187"/>
  <c r="X187"/>
  <c r="Z186"/>
  <c r="Y186"/>
  <c r="X186"/>
  <c r="AL186"/>
  <c r="AA185"/>
  <c r="Y185"/>
  <c r="X185"/>
  <c r="AK185"/>
  <c r="Z184"/>
  <c r="Y184"/>
  <c r="X184"/>
  <c r="Y183"/>
  <c r="X183"/>
  <c r="Y182"/>
  <c r="X182"/>
  <c r="AM182"/>
  <c r="Y181"/>
  <c r="X181"/>
  <c r="Y180"/>
  <c r="X180"/>
  <c r="Y179"/>
  <c r="X179"/>
  <c r="AA178"/>
  <c r="Z178"/>
  <c r="Y178"/>
  <c r="X178"/>
  <c r="Y177"/>
  <c r="X177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X167"/>
  <c r="AK167"/>
  <c r="AA166"/>
  <c r="Y166"/>
  <c r="X166"/>
  <c r="AA165"/>
  <c r="Y165"/>
  <c r="X165"/>
  <c r="AK165"/>
  <c r="AR165" s="1"/>
  <c r="AA164"/>
  <c r="Y164"/>
  <c r="X164"/>
  <c r="AM164" s="1"/>
  <c r="AA163"/>
  <c r="Y163"/>
  <c r="X163"/>
  <c r="AK163"/>
  <c r="AR163" s="1"/>
  <c r="AA162"/>
  <c r="Y162"/>
  <c r="X162"/>
  <c r="AM162" s="1"/>
  <c r="AA161"/>
  <c r="Y161"/>
  <c r="X161"/>
  <c r="AK161"/>
  <c r="Y160"/>
  <c r="X160"/>
  <c r="AM160"/>
  <c r="AA159"/>
  <c r="Y159"/>
  <c r="X159"/>
  <c r="AK159"/>
  <c r="AA158"/>
  <c r="Y158"/>
  <c r="X158"/>
  <c r="AM158" s="1"/>
  <c r="AA157"/>
  <c r="Y157"/>
  <c r="X157"/>
  <c r="AK157"/>
  <c r="AA156"/>
  <c r="Y156"/>
  <c r="X156"/>
  <c r="AM156" s="1"/>
  <c r="AA155"/>
  <c r="Y155"/>
  <c r="X155"/>
  <c r="AK155"/>
  <c r="AA154"/>
  <c r="Y154"/>
  <c r="X154"/>
  <c r="AM154" s="1"/>
  <c r="AA153"/>
  <c r="Y153"/>
  <c r="X153"/>
  <c r="AK153"/>
  <c r="AA152"/>
  <c r="Y152"/>
  <c r="AN152" s="1"/>
  <c r="X152"/>
  <c r="Z151"/>
  <c r="Y151"/>
  <c r="X151"/>
  <c r="Z150"/>
  <c r="Y150"/>
  <c r="X150"/>
  <c r="AA149"/>
  <c r="Y149"/>
  <c r="X149"/>
  <c r="AA148"/>
  <c r="Y148"/>
  <c r="AN148"/>
  <c r="X148"/>
  <c r="AM148"/>
  <c r="O50" i="35"/>
  <c r="P50"/>
  <c r="AA147" i="1"/>
  <c r="Y147"/>
  <c r="X147"/>
  <c r="AK147"/>
  <c r="Z146"/>
  <c r="Y146"/>
  <c r="X146"/>
  <c r="AA145"/>
  <c r="Y145"/>
  <c r="X145"/>
  <c r="AK145"/>
  <c r="AA144"/>
  <c r="Y144"/>
  <c r="X144"/>
  <c r="Z143"/>
  <c r="Y143"/>
  <c r="X143"/>
  <c r="Z142"/>
  <c r="Y142"/>
  <c r="X142"/>
  <c r="AA141"/>
  <c r="Y141"/>
  <c r="X141"/>
  <c r="AK141"/>
  <c r="Z140"/>
  <c r="Y140"/>
  <c r="X140"/>
  <c r="AM140" s="1"/>
  <c r="Z139"/>
  <c r="Y139"/>
  <c r="X139"/>
  <c r="AA138"/>
  <c r="Y138"/>
  <c r="X138"/>
  <c r="AA137"/>
  <c r="Y137"/>
  <c r="X137"/>
  <c r="AK137"/>
  <c r="AA136"/>
  <c r="Y136"/>
  <c r="X136"/>
  <c r="Z135"/>
  <c r="Y135"/>
  <c r="X135"/>
  <c r="AA134"/>
  <c r="Y134"/>
  <c r="X134"/>
  <c r="Z133"/>
  <c r="Y133"/>
  <c r="X133"/>
  <c r="Z132"/>
  <c r="Y132"/>
  <c r="X132"/>
  <c r="AM132"/>
  <c r="AA131"/>
  <c r="Y131"/>
  <c r="X131"/>
  <c r="AK131"/>
  <c r="Z130"/>
  <c r="Y130"/>
  <c r="X130"/>
  <c r="AA129"/>
  <c r="Y129"/>
  <c r="X129"/>
  <c r="AK129"/>
  <c r="Z128"/>
  <c r="Y128"/>
  <c r="X128"/>
  <c r="Z127"/>
  <c r="Y127"/>
  <c r="X127"/>
  <c r="AA126"/>
  <c r="Y126"/>
  <c r="X126"/>
  <c r="Z125"/>
  <c r="Y125"/>
  <c r="X125"/>
  <c r="AA124"/>
  <c r="Y124"/>
  <c r="X124"/>
  <c r="AA123"/>
  <c r="Y123"/>
  <c r="X123"/>
  <c r="AK123"/>
  <c r="Z122"/>
  <c r="Y122"/>
  <c r="X122"/>
  <c r="Y121"/>
  <c r="X121"/>
  <c r="Y120"/>
  <c r="X120"/>
  <c r="AM120" s="1"/>
  <c r="AA119"/>
  <c r="Y119"/>
  <c r="X119"/>
  <c r="AK119"/>
  <c r="Z118"/>
  <c r="Y118"/>
  <c r="X118"/>
  <c r="AM118" s="1"/>
  <c r="Y117"/>
  <c r="X117"/>
  <c r="AK117"/>
  <c r="Z116"/>
  <c r="Y116"/>
  <c r="X116"/>
  <c r="AM116" s="1"/>
  <c r="Y115"/>
  <c r="X115"/>
  <c r="AK115"/>
  <c r="Z114"/>
  <c r="Y114"/>
  <c r="X114"/>
  <c r="AM114" s="1"/>
  <c r="AA112"/>
  <c r="Y112"/>
  <c r="X112"/>
  <c r="AA111"/>
  <c r="Y111"/>
  <c r="X111"/>
  <c r="AK111"/>
  <c r="AR111" s="1"/>
  <c r="AA110"/>
  <c r="Y110"/>
  <c r="X110"/>
  <c r="AA109"/>
  <c r="Y109"/>
  <c r="X109"/>
  <c r="AA108"/>
  <c r="Y108"/>
  <c r="X108"/>
  <c r="AA107"/>
  <c r="Y107"/>
  <c r="X107"/>
  <c r="AK107"/>
  <c r="AA106"/>
  <c r="Y106"/>
  <c r="X106"/>
  <c r="AA105"/>
  <c r="Y105"/>
  <c r="X105"/>
  <c r="AA104"/>
  <c r="Y104"/>
  <c r="X104"/>
  <c r="AA103"/>
  <c r="Y103"/>
  <c r="X103"/>
  <c r="AK103"/>
  <c r="Z99"/>
  <c r="Y99"/>
  <c r="X99"/>
  <c r="W99"/>
  <c r="V99"/>
  <c r="AA93"/>
  <c r="Z93"/>
  <c r="AO93" s="1"/>
  <c r="Y93"/>
  <c r="X93"/>
  <c r="AA92"/>
  <c r="Z92"/>
  <c r="AO92" s="1"/>
  <c r="AT92" s="1"/>
  <c r="Y92"/>
  <c r="X92"/>
  <c r="AA91"/>
  <c r="Z91"/>
  <c r="AO91" s="1"/>
  <c r="AT91" s="1"/>
  <c r="Y91"/>
  <c r="X91"/>
  <c r="AA90"/>
  <c r="Z90"/>
  <c r="AO90" s="1"/>
  <c r="Y90"/>
  <c r="X90"/>
  <c r="AK90"/>
  <c r="AR90" s="1"/>
  <c r="AA89"/>
  <c r="Y89"/>
  <c r="X89"/>
  <c r="AM89" s="1"/>
  <c r="AA88"/>
  <c r="Y88"/>
  <c r="X88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X76"/>
  <c r="AK76"/>
  <c r="AA75"/>
  <c r="Y75"/>
  <c r="X75"/>
  <c r="AM75" s="1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X68"/>
  <c r="AL68"/>
  <c r="Z67"/>
  <c r="Y67"/>
  <c r="AN67"/>
  <c r="X67"/>
  <c r="Z66"/>
  <c r="Y66"/>
  <c r="X66"/>
  <c r="Z65"/>
  <c r="Y65"/>
  <c r="AN65"/>
  <c r="X65"/>
  <c r="AL65"/>
  <c r="AR65" s="1"/>
  <c r="Z64"/>
  <c r="Y64"/>
  <c r="X64"/>
  <c r="Z63"/>
  <c r="Y63"/>
  <c r="X63"/>
  <c r="AL63"/>
  <c r="Z62"/>
  <c r="Y62"/>
  <c r="X62"/>
  <c r="AL62"/>
  <c r="Y61"/>
  <c r="X61"/>
  <c r="Y60"/>
  <c r="X60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Y25"/>
  <c r="X25"/>
  <c r="AK25"/>
  <c r="AA24"/>
  <c r="Z24"/>
  <c r="Y24"/>
  <c r="X24"/>
  <c r="AK24"/>
  <c r="AA23"/>
  <c r="Z23"/>
  <c r="AO23"/>
  <c r="Y23"/>
  <c r="X23"/>
  <c r="AA22"/>
  <c r="Z22"/>
  <c r="Y22"/>
  <c r="X22"/>
  <c r="AA21"/>
  <c r="Z21"/>
  <c r="AO21" s="1"/>
  <c r="Y21"/>
  <c r="X21"/>
  <c r="AK21"/>
  <c r="AR21" s="1"/>
  <c r="AA20"/>
  <c r="Z20"/>
  <c r="Y20"/>
  <c r="X20"/>
  <c r="AA19"/>
  <c r="Z19"/>
  <c r="Y19"/>
  <c r="X19"/>
  <c r="AA18"/>
  <c r="Z18"/>
  <c r="AO18" s="1"/>
  <c r="Y18"/>
  <c r="X18"/>
  <c r="AK18"/>
  <c r="AA17"/>
  <c r="Z17"/>
  <c r="Y17"/>
  <c r="X17"/>
  <c r="AA16"/>
  <c r="Z16"/>
  <c r="AT16" s="1"/>
  <c r="Y16"/>
  <c r="X16"/>
  <c r="Y15"/>
  <c r="X15"/>
  <c r="AK15"/>
  <c r="AN823"/>
  <c r="AN819"/>
  <c r="AN815"/>
  <c r="AN813"/>
  <c r="AN811"/>
  <c r="AN809"/>
  <c r="AN807"/>
  <c r="AN803"/>
  <c r="AN801"/>
  <c r="AN795"/>
  <c r="AN779"/>
  <c r="AN775"/>
  <c r="AN771"/>
  <c r="AN761"/>
  <c r="AN757"/>
  <c r="AN755"/>
  <c r="AN753"/>
  <c r="AN747"/>
  <c r="AN731"/>
  <c r="AN725"/>
  <c r="AN723"/>
  <c r="AN717"/>
  <c r="AN713"/>
  <c r="AN703"/>
  <c r="E20" i="29"/>
  <c r="K20"/>
  <c r="H20"/>
  <c r="AJ10" i="1"/>
  <c r="R46" i="33"/>
  <c r="S57" s="1"/>
  <c r="R43"/>
  <c r="S55" s="1"/>
  <c r="R40"/>
  <c r="S53" s="1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/>
  <c r="O40"/>
  <c r="O37"/>
  <c r="P51" s="1"/>
  <c r="S14" i="35"/>
  <c r="R22"/>
  <c r="O22"/>
  <c r="P49"/>
  <c r="P14"/>
  <c r="P33"/>
  <c r="P27"/>
  <c r="L12"/>
  <c r="H12"/>
  <c r="L20" s="1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 s="1"/>
  <c r="N31"/>
  <c r="N30"/>
  <c r="N29"/>
  <c r="N28"/>
  <c r="N27"/>
  <c r="N26"/>
  <c r="N25"/>
  <c r="N24"/>
  <c r="N23"/>
  <c r="N22"/>
  <c r="N20"/>
  <c r="N19"/>
  <c r="N17"/>
  <c r="N67" s="1"/>
  <c r="K10"/>
  <c r="F10"/>
  <c r="C10"/>
  <c r="E8"/>
  <c r="C8"/>
  <c r="N10" s="1"/>
  <c r="G6"/>
  <c r="C6"/>
  <c r="E2"/>
  <c r="AO6" i="1"/>
  <c r="L12" i="27"/>
  <c r="L12" i="26"/>
  <c r="L12" i="25"/>
  <c r="L12" i="20"/>
  <c r="L12" i="31"/>
  <c r="A257"/>
  <c r="N257" s="1"/>
  <c r="A624" i="27"/>
  <c r="A562"/>
  <c r="A563"/>
  <c r="A564" s="1"/>
  <c r="N564" s="1"/>
  <c r="A557"/>
  <c r="A558"/>
  <c r="A559" s="1"/>
  <c r="A551"/>
  <c r="A552" s="1"/>
  <c r="A624" i="26"/>
  <c r="A562"/>
  <c r="A563"/>
  <c r="A564" s="1"/>
  <c r="N564" s="1"/>
  <c r="A557"/>
  <c r="A558"/>
  <c r="A559" s="1"/>
  <c r="A551"/>
  <c r="A552" s="1"/>
  <c r="A553" s="1"/>
  <c r="N553" s="1"/>
  <c r="A624" i="25"/>
  <c r="A562"/>
  <c r="A563"/>
  <c r="A564" s="1"/>
  <c r="N564" s="1"/>
  <c r="A557"/>
  <c r="A558"/>
  <c r="A559" s="1"/>
  <c r="A551"/>
  <c r="A552" s="1"/>
  <c r="A553" s="1"/>
  <c r="N553" s="1"/>
  <c r="A624" i="20"/>
  <c r="A562"/>
  <c r="A563"/>
  <c r="A564" s="1"/>
  <c r="N564" s="1"/>
  <c r="A557"/>
  <c r="A558"/>
  <c r="A559" s="1"/>
  <c r="A551"/>
  <c r="A552" s="1"/>
  <c r="A553" s="1"/>
  <c r="N553" s="1"/>
  <c r="N17" i="32"/>
  <c r="F13"/>
  <c r="K10"/>
  <c r="F10"/>
  <c r="C10"/>
  <c r="E8"/>
  <c r="G6"/>
  <c r="C6"/>
  <c r="K36" i="29"/>
  <c r="K35"/>
  <c r="K35" i="30" s="1"/>
  <c r="H35" i="29"/>
  <c r="H35" i="30" s="1"/>
  <c r="H34" i="29"/>
  <c r="H34" i="30" s="1"/>
  <c r="H36" i="29"/>
  <c r="E35"/>
  <c r="E35" i="30" s="1"/>
  <c r="E36" i="29"/>
  <c r="AA187" i="1"/>
  <c r="AH187"/>
  <c r="T187"/>
  <c r="K57" i="29"/>
  <c r="H57"/>
  <c r="E57"/>
  <c r="K26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/>
  <c r="E48"/>
  <c r="E8" i="27"/>
  <c r="E8" i="26"/>
  <c r="E8" i="25"/>
  <c r="E8" i="20"/>
  <c r="E8" i="31"/>
  <c r="I12" s="1"/>
  <c r="H37" i="29"/>
  <c r="K37"/>
  <c r="K34"/>
  <c r="K34" i="30" s="1"/>
  <c r="H18" i="29"/>
  <c r="H17"/>
  <c r="H16"/>
  <c r="H15"/>
  <c r="H15" i="30" s="1"/>
  <c r="H14" i="29"/>
  <c r="H14" i="30" s="1"/>
  <c r="H13" i="29"/>
  <c r="H13" i="30" s="1"/>
  <c r="H72" i="29"/>
  <c r="H72" i="30" s="1"/>
  <c r="K108" i="29"/>
  <c r="K107"/>
  <c r="K106"/>
  <c r="K105"/>
  <c r="K105" i="30" s="1"/>
  <c r="K104" i="29"/>
  <c r="K104" i="30" s="1"/>
  <c r="H108" i="29"/>
  <c r="H107"/>
  <c r="H106"/>
  <c r="H105"/>
  <c r="H105" i="30" s="1"/>
  <c r="H104" i="29"/>
  <c r="H104" i="30" s="1"/>
  <c r="K101" i="29"/>
  <c r="K100"/>
  <c r="K99"/>
  <c r="K98"/>
  <c r="K98" i="30" s="1"/>
  <c r="K97" i="29"/>
  <c r="H101"/>
  <c r="H100"/>
  <c r="H99"/>
  <c r="H98"/>
  <c r="H98" i="30" s="1"/>
  <c r="H97" i="29"/>
  <c r="H97" i="30" s="1"/>
  <c r="K94" i="29"/>
  <c r="K93"/>
  <c r="K93" i="30" s="1"/>
  <c r="K92" i="29"/>
  <c r="K92" i="30" s="1"/>
  <c r="H94" i="29"/>
  <c r="H93"/>
  <c r="H93" i="30" s="1"/>
  <c r="H92" i="29"/>
  <c r="H92" i="30" s="1"/>
  <c r="K89" i="29"/>
  <c r="K89" i="30" s="1"/>
  <c r="H89" i="29"/>
  <c r="H89" i="30" s="1"/>
  <c r="H88" i="29"/>
  <c r="H88" i="30" s="1"/>
  <c r="K84" i="29"/>
  <c r="K84" i="30"/>
  <c r="H84" i="29"/>
  <c r="H84" i="30"/>
  <c r="K80" i="29"/>
  <c r="K80" i="30"/>
  <c r="K79" i="29"/>
  <c r="K79" i="30"/>
  <c r="H80" i="29"/>
  <c r="H80" i="30"/>
  <c r="H79" i="29"/>
  <c r="H79" i="30" s="1"/>
  <c r="K69" i="29"/>
  <c r="K69" i="30" s="1"/>
  <c r="K68" i="29"/>
  <c r="K68" i="30" s="1"/>
  <c r="H69" i="29"/>
  <c r="H69" i="30" s="1"/>
  <c r="H68" i="29"/>
  <c r="K65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/>
  <c r="H55" i="30" s="1"/>
  <c r="K50" i="29"/>
  <c r="K49"/>
  <c r="K47"/>
  <c r="K45"/>
  <c r="K44"/>
  <c r="K44" i="30" s="1"/>
  <c r="K43" i="29"/>
  <c r="K43" i="30" s="1"/>
  <c r="H52" i="29"/>
  <c r="H52" i="30" s="1"/>
  <c r="H50" i="29"/>
  <c r="H50" i="30" s="1"/>
  <c r="H49" i="29"/>
  <c r="H47"/>
  <c r="H46"/>
  <c r="H45"/>
  <c r="H44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/>
  <c r="K16"/>
  <c r="K15"/>
  <c r="K15" i="30" s="1"/>
  <c r="K14" i="29"/>
  <c r="K14" i="30" s="1"/>
  <c r="K13" i="29"/>
  <c r="K13" i="30" s="1"/>
  <c r="Y337" i="31"/>
  <c r="X337"/>
  <c r="Y396"/>
  <c r="X396"/>
  <c r="Y461"/>
  <c r="X461"/>
  <c r="Y460"/>
  <c r="X460"/>
  <c r="AA460"/>
  <c r="Y459"/>
  <c r="X459"/>
  <c r="Y458"/>
  <c r="X458"/>
  <c r="Y457"/>
  <c r="X457"/>
  <c r="Y456"/>
  <c r="X456"/>
  <c r="Y455"/>
  <c r="X455"/>
  <c r="Y454"/>
  <c r="X454"/>
  <c r="Y453"/>
  <c r="X453"/>
  <c r="Y452"/>
  <c r="X452"/>
  <c r="AA452" s="1"/>
  <c r="Y451"/>
  <c r="X451"/>
  <c r="Y450"/>
  <c r="X450"/>
  <c r="Y449"/>
  <c r="X449"/>
  <c r="Y448"/>
  <c r="X448"/>
  <c r="Y447"/>
  <c r="X447"/>
  <c r="Y446"/>
  <c r="X446"/>
  <c r="Y445"/>
  <c r="X445"/>
  <c r="Y444"/>
  <c r="X444"/>
  <c r="AA444"/>
  <c r="Y443"/>
  <c r="X443"/>
  <c r="Y442"/>
  <c r="X442"/>
  <c r="Y441"/>
  <c r="X441"/>
  <c r="Y440"/>
  <c r="X440"/>
  <c r="Y439"/>
  <c r="X439"/>
  <c r="Y438"/>
  <c r="X438"/>
  <c r="Y437"/>
  <c r="X437"/>
  <c r="Y436"/>
  <c r="X436"/>
  <c r="AA436" s="1"/>
  <c r="Y435"/>
  <c r="X435"/>
  <c r="Y434"/>
  <c r="X434"/>
  <c r="Y433"/>
  <c r="X433"/>
  <c r="AA433"/>
  <c r="Y432"/>
  <c r="X432"/>
  <c r="Y431"/>
  <c r="X431"/>
  <c r="Y430"/>
  <c r="X430"/>
  <c r="Y429"/>
  <c r="X429"/>
  <c r="AA429" s="1"/>
  <c r="Y428"/>
  <c r="X428"/>
  <c r="Y427"/>
  <c r="X427"/>
  <c r="Y426"/>
  <c r="X426"/>
  <c r="AA426"/>
  <c r="Y425"/>
  <c r="X425"/>
  <c r="Y424"/>
  <c r="X424"/>
  <c r="Y423"/>
  <c r="AA423"/>
  <c r="X423"/>
  <c r="Y422"/>
  <c r="X422"/>
  <c r="Y421"/>
  <c r="X421"/>
  <c r="Y420"/>
  <c r="X420"/>
  <c r="AA420"/>
  <c r="Y419"/>
  <c r="X419"/>
  <c r="Y418"/>
  <c r="X418"/>
  <c r="Y417"/>
  <c r="X417"/>
  <c r="Y416"/>
  <c r="AA416"/>
  <c r="X416"/>
  <c r="Y415"/>
  <c r="X415"/>
  <c r="Y414"/>
  <c r="X414"/>
  <c r="Y413"/>
  <c r="X413"/>
  <c r="Y412"/>
  <c r="X412"/>
  <c r="Y411"/>
  <c r="X411"/>
  <c r="Y410"/>
  <c r="X410"/>
  <c r="AA410" s="1"/>
  <c r="Y409"/>
  <c r="X409"/>
  <c r="Y408"/>
  <c r="X408"/>
  <c r="Y407"/>
  <c r="X407"/>
  <c r="Y406"/>
  <c r="X406"/>
  <c r="AA406" s="1"/>
  <c r="Y405"/>
  <c r="X405"/>
  <c r="Y404"/>
  <c r="X404"/>
  <c r="AA404"/>
  <c r="Y403"/>
  <c r="X403"/>
  <c r="Y402"/>
  <c r="AA402"/>
  <c r="X402"/>
  <c r="Y401"/>
  <c r="X401"/>
  <c r="Y400"/>
  <c r="X400"/>
  <c r="Y399"/>
  <c r="X399"/>
  <c r="Y398"/>
  <c r="X398"/>
  <c r="Y397"/>
  <c r="X397"/>
  <c r="Y395"/>
  <c r="X395"/>
  <c r="Y394"/>
  <c r="X394"/>
  <c r="Y393"/>
  <c r="X393"/>
  <c r="Y392"/>
  <c r="X392"/>
  <c r="Y391"/>
  <c r="X391"/>
  <c r="Y390"/>
  <c r="X390"/>
  <c r="Y389"/>
  <c r="X389"/>
  <c r="Y388"/>
  <c r="X388"/>
  <c r="Y387"/>
  <c r="X387"/>
  <c r="AA387" s="1"/>
  <c r="Y386"/>
  <c r="X386"/>
  <c r="Y385"/>
  <c r="X385"/>
  <c r="Y384"/>
  <c r="X384"/>
  <c r="Y383"/>
  <c r="X383"/>
  <c r="AA383" s="1"/>
  <c r="Y382"/>
  <c r="X382"/>
  <c r="Y381"/>
  <c r="X381"/>
  <c r="Y380"/>
  <c r="X380"/>
  <c r="Y379"/>
  <c r="X379"/>
  <c r="Y378"/>
  <c r="X378"/>
  <c r="Y377"/>
  <c r="X377"/>
  <c r="Y376"/>
  <c r="X376"/>
  <c r="Y375"/>
  <c r="X375"/>
  <c r="Y374"/>
  <c r="X374"/>
  <c r="Y373"/>
  <c r="X373"/>
  <c r="Y372"/>
  <c r="X372"/>
  <c r="Y371"/>
  <c r="X371"/>
  <c r="Y370"/>
  <c r="X370"/>
  <c r="Y369"/>
  <c r="X369"/>
  <c r="Y368"/>
  <c r="X368"/>
  <c r="Y367"/>
  <c r="X367"/>
  <c r="AA367" s="1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AA357" s="1"/>
  <c r="Y356"/>
  <c r="X356"/>
  <c r="Y355"/>
  <c r="X355"/>
  <c r="Y354"/>
  <c r="X354"/>
  <c r="Y353"/>
  <c r="X353"/>
  <c r="AA353"/>
  <c r="Y352"/>
  <c r="X352"/>
  <c r="Y351"/>
  <c r="X351"/>
  <c r="Y350"/>
  <c r="X350"/>
  <c r="Y349"/>
  <c r="X349"/>
  <c r="Y348"/>
  <c r="X348"/>
  <c r="AA348" s="1"/>
  <c r="Y347"/>
  <c r="X347"/>
  <c r="Y346"/>
  <c r="X346"/>
  <c r="AA346"/>
  <c r="Y345"/>
  <c r="X345"/>
  <c r="Y344"/>
  <c r="X344"/>
  <c r="AA344" s="1"/>
  <c r="Y343"/>
  <c r="X343"/>
  <c r="Y342"/>
  <c r="X342"/>
  <c r="Y341"/>
  <c r="X341"/>
  <c r="Y340"/>
  <c r="X340"/>
  <c r="Y339"/>
  <c r="AA339" s="1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AA320"/>
  <c r="Y319"/>
  <c r="X319"/>
  <c r="Y318"/>
  <c r="X318"/>
  <c r="Y317"/>
  <c r="X317"/>
  <c r="Y316"/>
  <c r="X316"/>
  <c r="Y315"/>
  <c r="X315"/>
  <c r="Y314"/>
  <c r="X314"/>
  <c r="Y313"/>
  <c r="AA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X265"/>
  <c r="AA265"/>
  <c r="Y264"/>
  <c r="X264"/>
  <c r="Y263"/>
  <c r="X263"/>
  <c r="Y262"/>
  <c r="X262"/>
  <c r="Y261"/>
  <c r="X261"/>
  <c r="AA261" s="1"/>
  <c r="Y260"/>
  <c r="X260"/>
  <c r="Y259"/>
  <c r="X259"/>
  <c r="Y258"/>
  <c r="X258"/>
  <c r="Y257"/>
  <c r="X257"/>
  <c r="AA257" s="1"/>
  <c r="Y256"/>
  <c r="X256"/>
  <c r="Y255"/>
  <c r="X255"/>
  <c r="Y254"/>
  <c r="X254"/>
  <c r="Y253"/>
  <c r="AA253"/>
  <c r="X253"/>
  <c r="Y252"/>
  <c r="X252"/>
  <c r="Y251"/>
  <c r="X251"/>
  <c r="Y250"/>
  <c r="X250"/>
  <c r="Y249"/>
  <c r="X249"/>
  <c r="Y248"/>
  <c r="X248"/>
  <c r="Y247"/>
  <c r="X247"/>
  <c r="AA247"/>
  <c r="Y246"/>
  <c r="X246"/>
  <c r="Y245"/>
  <c r="X245"/>
  <c r="Y244"/>
  <c r="X244"/>
  <c r="Y243"/>
  <c r="X243"/>
  <c r="Y242"/>
  <c r="X242"/>
  <c r="Y240"/>
  <c r="AA240"/>
  <c r="X240"/>
  <c r="Y239"/>
  <c r="X239"/>
  <c r="Y238"/>
  <c r="X238"/>
  <c r="X241"/>
  <c r="X237"/>
  <c r="AA237"/>
  <c r="Y236"/>
  <c r="X236"/>
  <c r="Y235"/>
  <c r="X235"/>
  <c r="AA235" s="1"/>
  <c r="Y233"/>
  <c r="X233"/>
  <c r="Y232"/>
  <c r="X232"/>
  <c r="Y231"/>
  <c r="X231"/>
  <c r="Y230"/>
  <c r="X230"/>
  <c r="Y229"/>
  <c r="X229"/>
  <c r="Y228"/>
  <c r="X228"/>
  <c r="Y227"/>
  <c r="X227"/>
  <c r="Y226"/>
  <c r="X226"/>
  <c r="AA226" s="1"/>
  <c r="Y225"/>
  <c r="X225"/>
  <c r="Y224"/>
  <c r="X224"/>
  <c r="AA224"/>
  <c r="Y223"/>
  <c r="X223"/>
  <c r="AA223" s="1"/>
  <c r="Y222"/>
  <c r="X222"/>
  <c r="AA222"/>
  <c r="Y221"/>
  <c r="X221"/>
  <c r="Y220"/>
  <c r="X220"/>
  <c r="Y219"/>
  <c r="X219"/>
  <c r="Y218"/>
  <c r="X218"/>
  <c r="Y217"/>
  <c r="X217"/>
  <c r="Y216"/>
  <c r="X216"/>
  <c r="AA216" s="1"/>
  <c r="Y215"/>
  <c r="X215"/>
  <c r="Y214"/>
  <c r="X214"/>
  <c r="Y213"/>
  <c r="X213"/>
  <c r="X212"/>
  <c r="Y211"/>
  <c r="AA211" s="1"/>
  <c r="Y210"/>
  <c r="Y209"/>
  <c r="X208"/>
  <c r="AA208" s="1"/>
  <c r="X207"/>
  <c r="AA207" s="1"/>
  <c r="X206"/>
  <c r="Y205"/>
  <c r="AA205"/>
  <c r="Y204"/>
  <c r="Y202"/>
  <c r="AA202" s="1"/>
  <c r="Y201"/>
  <c r="AA201" s="1"/>
  <c r="Y200"/>
  <c r="Y199"/>
  <c r="Y198"/>
  <c r="X198"/>
  <c r="AA198"/>
  <c r="Y197"/>
  <c r="X197"/>
  <c r="Y196"/>
  <c r="X196"/>
  <c r="Y195"/>
  <c r="X195"/>
  <c r="Y194"/>
  <c r="X194"/>
  <c r="Y193"/>
  <c r="X193"/>
  <c r="Y192"/>
  <c r="X192"/>
  <c r="AA192" s="1"/>
  <c r="Y191"/>
  <c r="X191"/>
  <c r="Y190"/>
  <c r="X190"/>
  <c r="AA190"/>
  <c r="Y189"/>
  <c r="X189"/>
  <c r="Y188"/>
  <c r="X188"/>
  <c r="AA188" s="1"/>
  <c r="Y187"/>
  <c r="X187"/>
  <c r="Y186"/>
  <c r="X186"/>
  <c r="Y185"/>
  <c r="X185"/>
  <c r="Y184"/>
  <c r="X184"/>
  <c r="Y183"/>
  <c r="X183"/>
  <c r="Y182"/>
  <c r="X182"/>
  <c r="AA182"/>
  <c r="Y181"/>
  <c r="X181"/>
  <c r="AA181" s="1"/>
  <c r="Y180"/>
  <c r="X180"/>
  <c r="Y179"/>
  <c r="X179"/>
  <c r="Y178"/>
  <c r="X178"/>
  <c r="Y177"/>
  <c r="X177"/>
  <c r="AA177"/>
  <c r="Y176"/>
  <c r="X176"/>
  <c r="Y175"/>
  <c r="X175"/>
  <c r="Y174"/>
  <c r="X174"/>
  <c r="AA174" s="1"/>
  <c r="Y173"/>
  <c r="X173"/>
  <c r="AA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AA157" s="1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AA145"/>
  <c r="Y144"/>
  <c r="X144"/>
  <c r="Y143"/>
  <c r="X143"/>
  <c r="Y142"/>
  <c r="X142"/>
  <c r="Y141"/>
  <c r="X141"/>
  <c r="AA141" s="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AA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AA109" s="1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AA93"/>
  <c r="Y92"/>
  <c r="X92"/>
  <c r="Y91"/>
  <c r="X91"/>
  <c r="Y90"/>
  <c r="X90"/>
  <c r="Y89"/>
  <c r="X89"/>
  <c r="Y88"/>
  <c r="X88"/>
  <c r="Y87"/>
  <c r="X87"/>
  <c r="Y86"/>
  <c r="X86"/>
  <c r="Y85"/>
  <c r="X85"/>
  <c r="Y84"/>
  <c r="X84"/>
  <c r="Y83"/>
  <c r="X83"/>
  <c r="Y82"/>
  <c r="X82"/>
  <c r="AA82" s="1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AA55"/>
  <c r="Y54"/>
  <c r="X54"/>
  <c r="Y53"/>
  <c r="X53"/>
  <c r="Y52"/>
  <c r="X52"/>
  <c r="Y51"/>
  <c r="X51"/>
  <c r="Y50"/>
  <c r="X50"/>
  <c r="Y49"/>
  <c r="AA49"/>
  <c r="X48"/>
  <c r="AA48" s="1"/>
  <c r="Y47"/>
  <c r="X47"/>
  <c r="AA47"/>
  <c r="Y46"/>
  <c r="X46"/>
  <c r="Y45"/>
  <c r="X45"/>
  <c r="Y44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7"/>
  <c r="E106"/>
  <c r="E105"/>
  <c r="E105" i="30" s="1"/>
  <c r="E104" i="29"/>
  <c r="E104" i="30" s="1"/>
  <c r="E101" i="29"/>
  <c r="E100"/>
  <c r="E99"/>
  <c r="E98"/>
  <c r="E98" i="30" s="1"/>
  <c r="E97" i="29"/>
  <c r="E97" i="30" s="1"/>
  <c r="E94" i="29"/>
  <c r="E94" i="30" s="1"/>
  <c r="E93" i="29"/>
  <c r="E93" i="30" s="1"/>
  <c r="E92" i="29"/>
  <c r="E92" i="30" s="1"/>
  <c r="E89" i="29"/>
  <c r="E89" i="30" s="1"/>
  <c r="N89" s="1"/>
  <c r="E88" i="29"/>
  <c r="E88" i="30" s="1"/>
  <c r="E84" i="29"/>
  <c r="E84" i="30"/>
  <c r="E80" i="29"/>
  <c r="E80" i="30" s="1"/>
  <c r="E79" i="29"/>
  <c r="E72"/>
  <c r="E72" i="30" s="1"/>
  <c r="E69" i="29"/>
  <c r="E69" i="30" s="1"/>
  <c r="E68" i="29"/>
  <c r="E65"/>
  <c r="E65" i="30" s="1"/>
  <c r="N61" i="29"/>
  <c r="E60"/>
  <c r="E60" i="30" s="1"/>
  <c r="E56" i="29"/>
  <c r="E55"/>
  <c r="E55" i="30" s="1"/>
  <c r="E52" i="29"/>
  <c r="E52" i="30" s="1"/>
  <c r="E50" i="29"/>
  <c r="E49"/>
  <c r="E47"/>
  <c r="E46"/>
  <c r="E45"/>
  <c r="E44"/>
  <c r="E44" i="30" s="1"/>
  <c r="E43" i="29"/>
  <c r="E43" i="30" s="1"/>
  <c r="E37" i="29"/>
  <c r="E34"/>
  <c r="E34" i="30" s="1"/>
  <c r="N34" s="1"/>
  <c r="E32" i="29"/>
  <c r="E32" i="30" s="1"/>
  <c r="E25" i="29"/>
  <c r="E24"/>
  <c r="E24" i="30" s="1"/>
  <c r="E18" i="29"/>
  <c r="E17"/>
  <c r="E16"/>
  <c r="E15"/>
  <c r="E15" i="30" s="1"/>
  <c r="E14" i="29"/>
  <c r="E14" i="30" s="1"/>
  <c r="E13" i="29"/>
  <c r="E13" i="30" s="1"/>
  <c r="S462" i="31"/>
  <c r="R462"/>
  <c r="AA203"/>
  <c r="K10"/>
  <c r="F10"/>
  <c r="C10"/>
  <c r="C8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 s="1"/>
  <c r="N194"/>
  <c r="N193"/>
  <c r="A190"/>
  <c r="N189"/>
  <c r="N188"/>
  <c r="N187"/>
  <c r="A184"/>
  <c r="A185" s="1"/>
  <c r="A186" s="1"/>
  <c r="N186" s="1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A566"/>
  <c r="AH572"/>
  <c r="AH571"/>
  <c r="AH569"/>
  <c r="AH568"/>
  <c r="AH567"/>
  <c r="AH566"/>
  <c r="T572"/>
  <c r="T569"/>
  <c r="T667" i="27"/>
  <c r="S667"/>
  <c r="V667" s="1"/>
  <c r="T640"/>
  <c r="S640"/>
  <c r="V640" s="1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AA408" i="1"/>
  <c r="Z408"/>
  <c r="S286" i="27"/>
  <c r="Z293" i="1"/>
  <c r="Z290"/>
  <c r="Z289"/>
  <c r="Z286"/>
  <c r="AH667"/>
  <c r="AG667"/>
  <c r="AX667" s="1"/>
  <c r="AH640"/>
  <c r="AG640"/>
  <c r="AX640" s="1"/>
  <c r="AG293"/>
  <c r="AX293" s="1"/>
  <c r="AG290"/>
  <c r="AX290" s="1"/>
  <c r="AG289"/>
  <c r="AX289" s="1"/>
  <c r="AG286"/>
  <c r="AX286" s="1"/>
  <c r="AH101"/>
  <c r="AX101" s="1"/>
  <c r="AH98"/>
  <c r="AX98" s="1"/>
  <c r="AH97"/>
  <c r="AX97" s="1"/>
  <c r="AH96"/>
  <c r="AX96" s="1"/>
  <c r="AH95"/>
  <c r="AX95" s="1"/>
  <c r="AH94"/>
  <c r="AX94" s="1"/>
  <c r="AH407"/>
  <c r="AG407"/>
  <c r="AX407" s="1"/>
  <c r="AH406"/>
  <c r="AG406"/>
  <c r="AX406" s="1"/>
  <c r="AH405"/>
  <c r="AG405"/>
  <c r="AX405" s="1"/>
  <c r="AH404"/>
  <c r="AG404"/>
  <c r="AX404" s="1"/>
  <c r="AH403"/>
  <c r="AG403"/>
  <c r="AX403" s="1"/>
  <c r="AH402"/>
  <c r="AG402"/>
  <c r="AX402" s="1"/>
  <c r="T101" i="27"/>
  <c r="T100"/>
  <c r="T99"/>
  <c r="T98"/>
  <c r="T97"/>
  <c r="T96"/>
  <c r="T95"/>
  <c r="T94"/>
  <c r="AA99" i="1"/>
  <c r="T408"/>
  <c r="S408"/>
  <c r="AV408" s="1"/>
  <c r="AO293"/>
  <c r="AT293" s="1"/>
  <c r="AO289"/>
  <c r="AT289" s="1"/>
  <c r="T99"/>
  <c r="AP99" s="1"/>
  <c r="AT99" s="1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J84" i="29" s="1"/>
  <c r="J84" i="30" s="1"/>
  <c r="AG705" i="1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/>
  <c r="H10" s="1"/>
  <c r="J10" s="1"/>
  <c r="K10" s="1"/>
  <c r="M10" s="1"/>
  <c r="N10" s="1"/>
  <c r="H9"/>
  <c r="K9" s="1"/>
  <c r="N9" s="1"/>
  <c r="G9"/>
  <c r="J9"/>
  <c r="M9" s="1"/>
  <c r="M5"/>
  <c r="J5"/>
  <c r="K1"/>
  <c r="G1"/>
  <c r="A1"/>
  <c r="B5" s="1"/>
  <c r="A2" i="8"/>
  <c r="A2" i="30" s="1"/>
  <c r="N57" i="4"/>
  <c r="N6"/>
  <c r="E10" i="29"/>
  <c r="H9"/>
  <c r="K9"/>
  <c r="N9" s="1"/>
  <c r="G9"/>
  <c r="J9" s="1"/>
  <c r="M9" s="1"/>
  <c r="M5"/>
  <c r="J5"/>
  <c r="K1"/>
  <c r="A1"/>
  <c r="B5" s="1"/>
  <c r="E10" i="8"/>
  <c r="G10" s="1"/>
  <c r="H10" s="1"/>
  <c r="H9"/>
  <c r="K9"/>
  <c r="N9" s="1"/>
  <c r="N60" s="1"/>
  <c r="G9"/>
  <c r="J9"/>
  <c r="M9" s="1"/>
  <c r="M60" s="1"/>
  <c r="H9" i="4"/>
  <c r="K9"/>
  <c r="G9"/>
  <c r="J9" s="1"/>
  <c r="D61" i="8"/>
  <c r="E60"/>
  <c r="D60"/>
  <c r="E60" i="4"/>
  <c r="D60"/>
  <c r="D61"/>
  <c r="E10"/>
  <c r="G10"/>
  <c r="E2" i="27"/>
  <c r="C6"/>
  <c r="G6"/>
  <c r="C8"/>
  <c r="N10" s="1"/>
  <c r="Q8"/>
  <c r="S8"/>
  <c r="C10"/>
  <c r="E12"/>
  <c r="I829" s="1"/>
  <c r="I831" s="1"/>
  <c r="I888" s="1"/>
  <c r="I890" s="1"/>
  <c r="H12"/>
  <c r="N2"/>
  <c r="N4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 s="1"/>
  <c r="AP27" s="1"/>
  <c r="AT27" s="1"/>
  <c r="N28" i="27"/>
  <c r="T28"/>
  <c r="AA28" i="1"/>
  <c r="AP28" s="1"/>
  <c r="AT28" s="1"/>
  <c r="N29" i="27"/>
  <c r="T29"/>
  <c r="AA29" i="1" s="1"/>
  <c r="AP29" s="1"/>
  <c r="AT29" s="1"/>
  <c r="N30" i="27"/>
  <c r="T30"/>
  <c r="AA30" i="1"/>
  <c r="AP30" s="1"/>
  <c r="AT30" s="1"/>
  <c r="N31" i="27"/>
  <c r="T31"/>
  <c r="AA31" i="1"/>
  <c r="AP31" s="1"/>
  <c r="AT31" s="1"/>
  <c r="N32" i="27"/>
  <c r="T32"/>
  <c r="AA32" i="1" s="1"/>
  <c r="AP32" s="1"/>
  <c r="AT32" s="1"/>
  <c r="N33" i="27"/>
  <c r="T33"/>
  <c r="AA33" i="1" s="1"/>
  <c r="AP33" s="1"/>
  <c r="AT33" s="1"/>
  <c r="N34" i="27"/>
  <c r="T34"/>
  <c r="AA34" i="1"/>
  <c r="AP34" s="1"/>
  <c r="AT34" s="1"/>
  <c r="N35" i="27"/>
  <c r="T35"/>
  <c r="AA35" i="1"/>
  <c r="AP35" s="1"/>
  <c r="AT35" s="1"/>
  <c r="N36" i="27"/>
  <c r="T36"/>
  <c r="AA36" i="1" s="1"/>
  <c r="AP36" s="1"/>
  <c r="AT36" s="1"/>
  <c r="N37" i="27"/>
  <c r="T37"/>
  <c r="AA37" i="1"/>
  <c r="AP37" s="1"/>
  <c r="AT37" s="1"/>
  <c r="N38" i="27"/>
  <c r="T38"/>
  <c r="AA38" i="1" s="1"/>
  <c r="AP38" s="1"/>
  <c r="AT38" s="1"/>
  <c r="N39" i="27"/>
  <c r="T39"/>
  <c r="AA39" i="1" s="1"/>
  <c r="AP39" s="1"/>
  <c r="AT39" s="1"/>
  <c r="N40" i="27"/>
  <c r="T40"/>
  <c r="AA40" i="1"/>
  <c r="AP40" s="1"/>
  <c r="AT40" s="1"/>
  <c r="N41" i="27"/>
  <c r="T41"/>
  <c r="AA41" i="1" s="1"/>
  <c r="AP41" s="1"/>
  <c r="AT41" s="1"/>
  <c r="N42" i="27"/>
  <c r="T42"/>
  <c r="AA42" i="1"/>
  <c r="AP42" s="1"/>
  <c r="AT42" s="1"/>
  <c r="N43" i="27"/>
  <c r="T43"/>
  <c r="AA43" i="1"/>
  <c r="AP43" s="1"/>
  <c r="AT43" s="1"/>
  <c r="N44" i="27"/>
  <c r="T44"/>
  <c r="AA44" i="1" s="1"/>
  <c r="AP44" s="1"/>
  <c r="AT44" s="1"/>
  <c r="N45" i="27"/>
  <c r="T45"/>
  <c r="AA45" i="1"/>
  <c r="AP45" s="1"/>
  <c r="AT45" s="1"/>
  <c r="N46" i="27"/>
  <c r="T46"/>
  <c r="AA46" i="1" s="1"/>
  <c r="AP46" s="1"/>
  <c r="AT46" s="1"/>
  <c r="N47" i="27"/>
  <c r="T47"/>
  <c r="AA47" i="1" s="1"/>
  <c r="AP47" s="1"/>
  <c r="AT47" s="1"/>
  <c r="N48" i="27"/>
  <c r="T48"/>
  <c r="AA48" i="1"/>
  <c r="AP48" s="1"/>
  <c r="AT48" s="1"/>
  <c r="N49" i="27"/>
  <c r="T49"/>
  <c r="AA49" i="1" s="1"/>
  <c r="AP49" s="1"/>
  <c r="AT49" s="1"/>
  <c r="N50" i="27"/>
  <c r="T50"/>
  <c r="AA50" i="1"/>
  <c r="AP50" s="1"/>
  <c r="AT50" s="1"/>
  <c r="N51" i="27"/>
  <c r="T51"/>
  <c r="AA51" i="1"/>
  <c r="AP51" s="1"/>
  <c r="AT51" s="1"/>
  <c r="N52" i="27"/>
  <c r="T52"/>
  <c r="AA52" i="1" s="1"/>
  <c r="AP52" s="1"/>
  <c r="AT52" s="1"/>
  <c r="N53" i="27"/>
  <c r="N54"/>
  <c r="N55"/>
  <c r="S55"/>
  <c r="N56"/>
  <c r="T56"/>
  <c r="N57"/>
  <c r="T57"/>
  <c r="AA57" i="1"/>
  <c r="N58" i="27"/>
  <c r="T58"/>
  <c r="AA58" i="1" s="1"/>
  <c r="N59" i="27"/>
  <c r="T59"/>
  <c r="AA59" i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 s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/>
  <c r="N192" i="27"/>
  <c r="S192"/>
  <c r="Z192" i="1" s="1"/>
  <c r="T192" i="27"/>
  <c r="N193"/>
  <c r="S193"/>
  <c r="T193"/>
  <c r="AA193" i="1"/>
  <c r="N194" i="27"/>
  <c r="S194"/>
  <c r="Z194" i="1" s="1"/>
  <c r="T194" i="27"/>
  <c r="N195"/>
  <c r="N196"/>
  <c r="N197"/>
  <c r="N198"/>
  <c r="N199"/>
  <c r="S199"/>
  <c r="T199"/>
  <c r="AA199" i="1"/>
  <c r="N200" i="27"/>
  <c r="S200"/>
  <c r="Z200" i="1" s="1"/>
  <c r="T200" i="27"/>
  <c r="N201"/>
  <c r="S201"/>
  <c r="T201"/>
  <c r="AA201" i="1"/>
  <c r="N202" i="27"/>
  <c r="S202"/>
  <c r="Z202" i="1" s="1"/>
  <c r="T202" i="27"/>
  <c r="N203"/>
  <c r="S203"/>
  <c r="T203"/>
  <c r="AA203" i="1"/>
  <c r="N204" i="27"/>
  <c r="S204"/>
  <c r="Z204" i="1" s="1"/>
  <c r="T204" i="27"/>
  <c r="N205"/>
  <c r="S205"/>
  <c r="T205"/>
  <c r="AA205" i="1"/>
  <c r="N206" i="27"/>
  <c r="S206"/>
  <c r="Z206" i="1" s="1"/>
  <c r="T206" i="27"/>
  <c r="N207"/>
  <c r="S207"/>
  <c r="T207"/>
  <c r="N208"/>
  <c r="S208"/>
  <c r="T208"/>
  <c r="N209"/>
  <c r="S209"/>
  <c r="T209"/>
  <c r="N210"/>
  <c r="S210"/>
  <c r="T210"/>
  <c r="N211"/>
  <c r="S211"/>
  <c r="T211"/>
  <c r="N212"/>
  <c r="S212"/>
  <c r="Z212" i="1"/>
  <c r="T212" i="27"/>
  <c r="N213"/>
  <c r="S213"/>
  <c r="T213"/>
  <c r="AA213" i="1" s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/>
  <c r="N272" i="27"/>
  <c r="S272"/>
  <c r="Z272" i="1" s="1"/>
  <c r="T272" i="27"/>
  <c r="N273"/>
  <c r="S273"/>
  <c r="T273"/>
  <c r="AA273" i="1"/>
  <c r="N274" i="27"/>
  <c r="S274"/>
  <c r="Z274" i="1" s="1"/>
  <c r="T274" i="27"/>
  <c r="N275"/>
  <c r="S275"/>
  <c r="T275"/>
  <c r="AA275" i="1"/>
  <c r="N276" i="27"/>
  <c r="S276"/>
  <c r="Z276" i="1" s="1"/>
  <c r="T276" i="27"/>
  <c r="N277"/>
  <c r="S277"/>
  <c r="T277"/>
  <c r="AA277" i="1"/>
  <c r="N278" i="27"/>
  <c r="S278"/>
  <c r="Z278" i="1" s="1"/>
  <c r="T278" i="27"/>
  <c r="N279"/>
  <c r="S279"/>
  <c r="T279"/>
  <c r="N280"/>
  <c r="S280"/>
  <c r="T280"/>
  <c r="N281"/>
  <c r="S281"/>
  <c r="T281"/>
  <c r="AA281" i="1"/>
  <c r="N282" i="27"/>
  <c r="S282"/>
  <c r="Z282" i="1" s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/>
  <c r="N345" i="27"/>
  <c r="S345"/>
  <c r="Z345" i="1" s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/>
  <c r="N388" i="27"/>
  <c r="S388"/>
  <c r="T388"/>
  <c r="N389"/>
  <c r="S389"/>
  <c r="T389"/>
  <c r="N390"/>
  <c r="S390"/>
  <c r="T390"/>
  <c r="N391"/>
  <c r="S391"/>
  <c r="T391"/>
  <c r="AA391" i="1" s="1"/>
  <c r="N392" i="27"/>
  <c r="S392"/>
  <c r="T392"/>
  <c r="N393"/>
  <c r="S393"/>
  <c r="T393"/>
  <c r="N394"/>
  <c r="S394"/>
  <c r="T394"/>
  <c r="N395"/>
  <c r="S395"/>
  <c r="T395"/>
  <c r="AA395" i="1"/>
  <c r="N396" i="27"/>
  <c r="S396"/>
  <c r="T396"/>
  <c r="N397"/>
  <c r="S397"/>
  <c r="T397"/>
  <c r="N398"/>
  <c r="S398"/>
  <c r="T398"/>
  <c r="N399"/>
  <c r="S399"/>
  <c r="T399"/>
  <c r="AA399" i="1" s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/>
  <c r="T524" i="27"/>
  <c r="N525"/>
  <c r="S525"/>
  <c r="T525"/>
  <c r="AA525" i="1" s="1"/>
  <c r="N526" i="27"/>
  <c r="S526"/>
  <c r="Z526" i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 s="1"/>
  <c r="T532" i="27"/>
  <c r="N533"/>
  <c r="S533"/>
  <c r="T533"/>
  <c r="AA533" i="1"/>
  <c r="N534" i="27"/>
  <c r="S534"/>
  <c r="Z534" i="1" s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/>
  <c r="T540" i="27"/>
  <c r="N541"/>
  <c r="S541"/>
  <c r="T541"/>
  <c r="AA541" i="1" s="1"/>
  <c r="N542" i="27"/>
  <c r="S542"/>
  <c r="Z542" i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 s="1"/>
  <c r="T548" i="27"/>
  <c r="N549"/>
  <c r="S549"/>
  <c r="T549"/>
  <c r="AA549" i="1"/>
  <c r="N550" i="27"/>
  <c r="S550"/>
  <c r="Z550" i="1" s="1"/>
  <c r="T550" i="27"/>
  <c r="N551"/>
  <c r="S551"/>
  <c r="T551"/>
  <c r="S552"/>
  <c r="T552"/>
  <c r="S553"/>
  <c r="T553"/>
  <c r="N554"/>
  <c r="S554"/>
  <c r="T554"/>
  <c r="AA554" i="1" s="1"/>
  <c r="N555" i="27"/>
  <c r="S555"/>
  <c r="Z555" i="1" s="1"/>
  <c r="T555" i="27"/>
  <c r="N556"/>
  <c r="S556"/>
  <c r="T556"/>
  <c r="AA556" i="1" s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/>
  <c r="N565" i="27"/>
  <c r="S565"/>
  <c r="Z565" i="1" s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/>
  <c r="AO581" s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 s="1"/>
  <c r="AP586" s="1"/>
  <c r="N587" i="27"/>
  <c r="S587"/>
  <c r="Z587" i="1"/>
  <c r="AO587" s="1"/>
  <c r="T587" i="27"/>
  <c r="N588"/>
  <c r="S588"/>
  <c r="T588"/>
  <c r="AA588" i="1" s="1"/>
  <c r="N589" i="27"/>
  <c r="S589"/>
  <c r="Z589" i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 s="1"/>
  <c r="N602" i="27"/>
  <c r="S602"/>
  <c r="Z602" i="1"/>
  <c r="T602" i="27"/>
  <c r="N603"/>
  <c r="S603"/>
  <c r="T603"/>
  <c r="AA603" i="1" s="1"/>
  <c r="N604" i="27"/>
  <c r="N605"/>
  <c r="S605"/>
  <c r="T605"/>
  <c r="N606"/>
  <c r="S606"/>
  <c r="T606"/>
  <c r="N607"/>
  <c r="S607"/>
  <c r="T607"/>
  <c r="N608"/>
  <c r="N609"/>
  <c r="S609"/>
  <c r="T609"/>
  <c r="AA609" i="1" s="1"/>
  <c r="N610" i="27"/>
  <c r="S610"/>
  <c r="Z610" i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 s="1"/>
  <c r="N616" i="27"/>
  <c r="S616"/>
  <c r="Z616" i="1"/>
  <c r="T616" i="27"/>
  <c r="N617"/>
  <c r="S617"/>
  <c r="T617"/>
  <c r="N618"/>
  <c r="S618"/>
  <c r="T618"/>
  <c r="N619"/>
  <c r="S619"/>
  <c r="T619"/>
  <c r="AA619" i="1" s="1"/>
  <c r="N620" i="27"/>
  <c r="S620"/>
  <c r="Z620" i="1"/>
  <c r="T620" i="27"/>
  <c r="N621"/>
  <c r="S621"/>
  <c r="T621"/>
  <c r="N622"/>
  <c r="S622"/>
  <c r="T622"/>
  <c r="N623"/>
  <c r="S623"/>
  <c r="T623"/>
  <c r="AA623" i="1"/>
  <c r="N624" i="27"/>
  <c r="S624"/>
  <c r="Z624" i="1" s="1"/>
  <c r="T624" i="27"/>
  <c r="N625"/>
  <c r="S625"/>
  <c r="T625"/>
  <c r="AA625" i="1"/>
  <c r="N626" i="27"/>
  <c r="S626"/>
  <c r="Z626" i="1" s="1"/>
  <c r="T626" i="27"/>
  <c r="N627"/>
  <c r="S627"/>
  <c r="T627"/>
  <c r="AA627" i="1"/>
  <c r="N628" i="27"/>
  <c r="S628"/>
  <c r="Z628" i="1" s="1"/>
  <c r="T628" i="27"/>
  <c r="N629"/>
  <c r="S629"/>
  <c r="T629"/>
  <c r="AA629" i="1"/>
  <c r="N630" i="27"/>
  <c r="S630"/>
  <c r="Z630" i="1" s="1"/>
  <c r="T630" i="27"/>
  <c r="N631"/>
  <c r="S631"/>
  <c r="T631"/>
  <c r="AA631" i="1"/>
  <c r="N632" i="27"/>
  <c r="S632"/>
  <c r="Z632" i="1" s="1"/>
  <c r="T632" i="27"/>
  <c r="N633"/>
  <c r="S633"/>
  <c r="T633"/>
  <c r="AA633" i="1"/>
  <c r="N634" i="27"/>
  <c r="S634"/>
  <c r="Z634" i="1" s="1"/>
  <c r="T634" i="27"/>
  <c r="N635"/>
  <c r="S635"/>
  <c r="T635"/>
  <c r="AA635" i="1"/>
  <c r="N636" i="27"/>
  <c r="S636"/>
  <c r="Z636" i="1"/>
  <c r="T636" i="27"/>
  <c r="N637"/>
  <c r="S637"/>
  <c r="T637"/>
  <c r="AA637" i="1"/>
  <c r="N638" i="27"/>
  <c r="S638"/>
  <c r="Z638" i="1"/>
  <c r="T638" i="27"/>
  <c r="N639"/>
  <c r="S639"/>
  <c r="T639"/>
  <c r="AA639" i="1"/>
  <c r="N640" i="27"/>
  <c r="N641"/>
  <c r="S641"/>
  <c r="T641"/>
  <c r="AA641" i="1"/>
  <c r="N642" i="27"/>
  <c r="S642"/>
  <c r="Z642" i="1" s="1"/>
  <c r="T642" i="27"/>
  <c r="N643"/>
  <c r="S643"/>
  <c r="T643"/>
  <c r="AA643" i="1" s="1"/>
  <c r="N644" i="27"/>
  <c r="S644"/>
  <c r="Z644" i="1" s="1"/>
  <c r="T644" i="27"/>
  <c r="N645"/>
  <c r="S645"/>
  <c r="T645"/>
  <c r="AA645" i="1" s="1"/>
  <c r="N646" i="27"/>
  <c r="S646"/>
  <c r="Z646" i="1" s="1"/>
  <c r="T646" i="27"/>
  <c r="N647"/>
  <c r="S647"/>
  <c r="T647"/>
  <c r="AA647" i="1" s="1"/>
  <c r="N648" i="27"/>
  <c r="S648"/>
  <c r="Z648" i="1" s="1"/>
  <c r="T648" i="27"/>
  <c r="N649"/>
  <c r="S649"/>
  <c r="T649"/>
  <c r="AA649" i="1" s="1"/>
  <c r="N650" i="27"/>
  <c r="S650"/>
  <c r="Z650" i="1"/>
  <c r="T650" i="27"/>
  <c r="N651"/>
  <c r="S651"/>
  <c r="T651"/>
  <c r="AA651" i="1" s="1"/>
  <c r="N652" i="27"/>
  <c r="S652"/>
  <c r="Z652" i="1"/>
  <c r="T652" i="27"/>
  <c r="N653"/>
  <c r="S653"/>
  <c r="T653"/>
  <c r="AA653" i="1"/>
  <c r="N654" i="27"/>
  <c r="S654"/>
  <c r="Z654" i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Z761" i="1"/>
  <c r="T761" i="27"/>
  <c r="N762"/>
  <c r="S762"/>
  <c r="T762"/>
  <c r="N763"/>
  <c r="S763"/>
  <c r="V763" s="1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N790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O829"/>
  <c r="P829"/>
  <c r="Q829"/>
  <c r="R829"/>
  <c r="N832"/>
  <c r="N833"/>
  <c r="N834"/>
  <c r="N835"/>
  <c r="T835"/>
  <c r="AA835" i="1"/>
  <c r="N836" i="27"/>
  <c r="T836"/>
  <c r="AA836" i="1" s="1"/>
  <c r="N837" i="27"/>
  <c r="N838"/>
  <c r="N839"/>
  <c r="N840"/>
  <c r="N841"/>
  <c r="N842"/>
  <c r="T842"/>
  <c r="AA842" i="1"/>
  <c r="N843" i="27"/>
  <c r="T843"/>
  <c r="AA843" i="1" s="1"/>
  <c r="N844" i="27"/>
  <c r="T844"/>
  <c r="AA844" i="1" s="1"/>
  <c r="N845" i="27"/>
  <c r="T845"/>
  <c r="AA845" i="1" s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 s="1"/>
  <c r="N870" i="27"/>
  <c r="T870"/>
  <c r="N871"/>
  <c r="T871"/>
  <c r="N872"/>
  <c r="T872"/>
  <c r="N873"/>
  <c r="T873"/>
  <c r="AA873" i="1" s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/>
  <c r="N886" i="27"/>
  <c r="T886"/>
  <c r="AA886" i="1" s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/>
  <c r="Q8"/>
  <c r="S8"/>
  <c r="C10"/>
  <c r="E12"/>
  <c r="I829" s="1"/>
  <c r="I831" s="1"/>
  <c r="I888" s="1"/>
  <c r="I890" s="1"/>
  <c r="H12"/>
  <c r="N2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R888"/>
  <c r="P898"/>
  <c r="P899"/>
  <c r="P904"/>
  <c r="P905"/>
  <c r="T905"/>
  <c r="P907"/>
  <c r="P908"/>
  <c r="T908"/>
  <c r="P910"/>
  <c r="P911"/>
  <c r="E2" i="20"/>
  <c r="C6"/>
  <c r="G6"/>
  <c r="C8"/>
  <c r="N10"/>
  <c r="Q8"/>
  <c r="S8"/>
  <c r="C10"/>
  <c r="E12"/>
  <c r="I829" s="1"/>
  <c r="I831" s="1"/>
  <c r="I888" s="1"/>
  <c r="I890" s="1"/>
  <c r="H12"/>
  <c r="N2" s="1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AO55" s="1"/>
  <c r="AT55" s="1"/>
  <c r="N56" i="20"/>
  <c r="N57"/>
  <c r="N58"/>
  <c r="N59"/>
  <c r="N60"/>
  <c r="Z60" i="1"/>
  <c r="AA60"/>
  <c r="N61" i="20"/>
  <c r="Z61" i="1"/>
  <c r="AA61"/>
  <c r="N62" i="20"/>
  <c r="AA62" i="1"/>
  <c r="N63" i="20"/>
  <c r="AA63" i="1"/>
  <c r="N64" i="20"/>
  <c r="AA64" i="1"/>
  <c r="N65" i="20"/>
  <c r="N66"/>
  <c r="AA66" i="1"/>
  <c r="N67" i="20"/>
  <c r="AA67" i="1"/>
  <c r="N68" i="20"/>
  <c r="AA68" i="1"/>
  <c r="N69" i="20"/>
  <c r="AA69" i="1"/>
  <c r="N71" i="20"/>
  <c r="Z71" i="1"/>
  <c r="G19" i="4"/>
  <c r="G19" i="8" s="1"/>
  <c r="N72" i="20"/>
  <c r="N73"/>
  <c r="Z73" i="1"/>
  <c r="AO73" s="1"/>
  <c r="AT73" s="1"/>
  <c r="N74" i="20"/>
  <c r="Z74" i="1"/>
  <c r="AO74" s="1"/>
  <c r="AT74" s="1"/>
  <c r="N75" i="20"/>
  <c r="Z75" i="1"/>
  <c r="AO75" s="1"/>
  <c r="AT75" s="1"/>
  <c r="N76" i="20"/>
  <c r="Z76" i="1"/>
  <c r="AO76" s="1"/>
  <c r="AT76" s="1"/>
  <c r="N77" i="20"/>
  <c r="Z77" i="1"/>
  <c r="AO77" s="1"/>
  <c r="AT77" s="1"/>
  <c r="N78" i="20"/>
  <c r="Z78" i="1"/>
  <c r="AO78" s="1"/>
  <c r="AT78" s="1"/>
  <c r="N79" i="20"/>
  <c r="Z79" i="1"/>
  <c r="AO79" s="1"/>
  <c r="N80" i="20"/>
  <c r="Z80" i="1"/>
  <c r="AO80" s="1"/>
  <c r="AT80" s="1"/>
  <c r="N81" i="20"/>
  <c r="Z81" i="1"/>
  <c r="AO81" s="1"/>
  <c r="AT81" s="1"/>
  <c r="N82" i="20"/>
  <c r="Z82" i="1"/>
  <c r="AO82" s="1"/>
  <c r="N83" i="20"/>
  <c r="Z83" i="1"/>
  <c r="AO83" s="1"/>
  <c r="AT83" s="1"/>
  <c r="N84" i="20"/>
  <c r="Z84" i="1"/>
  <c r="AO84" s="1"/>
  <c r="AT84" s="1"/>
  <c r="N85" i="20"/>
  <c r="Z85" i="1"/>
  <c r="AO85" s="1"/>
  <c r="N86" i="20"/>
  <c r="Z86" i="1"/>
  <c r="AO86" s="1"/>
  <c r="AT86" s="1"/>
  <c r="N87" i="20"/>
  <c r="Z87" i="1"/>
  <c r="AO87" s="1"/>
  <c r="AT87" s="1"/>
  <c r="N88" i="20"/>
  <c r="Z88" i="1"/>
  <c r="AO88" s="1"/>
  <c r="N89" i="20"/>
  <c r="Z89" i="1"/>
  <c r="AO89" s="1"/>
  <c r="AT89" s="1"/>
  <c r="N90" i="20"/>
  <c r="N91"/>
  <c r="N92"/>
  <c r="N93"/>
  <c r="N94"/>
  <c r="N95"/>
  <c r="N96"/>
  <c r="N97"/>
  <c r="N98"/>
  <c r="N99"/>
  <c r="N100"/>
  <c r="N101"/>
  <c r="N103"/>
  <c r="Z103" i="1"/>
  <c r="AO103" s="1"/>
  <c r="N104" i="20"/>
  <c r="Z104" i="1"/>
  <c r="AO104" s="1"/>
  <c r="AT104" s="1"/>
  <c r="N105" i="20"/>
  <c r="Z105" i="1"/>
  <c r="AO105" s="1"/>
  <c r="N106" i="20"/>
  <c r="Z106" i="1"/>
  <c r="AO106" s="1"/>
  <c r="N107" i="20"/>
  <c r="Z107" i="1"/>
  <c r="AO107" s="1"/>
  <c r="N108" i="20"/>
  <c r="Z108" i="1"/>
  <c r="AO108" s="1"/>
  <c r="N109" i="20"/>
  <c r="Z109" i="1"/>
  <c r="AO109" s="1"/>
  <c r="N110" i="20"/>
  <c r="Z110" i="1"/>
  <c r="AO110" s="1"/>
  <c r="N111" i="20"/>
  <c r="N112"/>
  <c r="Z112" i="1"/>
  <c r="AO112" s="1"/>
  <c r="N114" i="20"/>
  <c r="AA114" i="1"/>
  <c r="N115" i="20"/>
  <c r="N116"/>
  <c r="AA116" i="1"/>
  <c r="N117" i="20"/>
  <c r="N118"/>
  <c r="AA118" i="1"/>
  <c r="N119" i="20"/>
  <c r="Z119" i="1"/>
  <c r="AO119" s="1"/>
  <c r="N120" i="20"/>
  <c r="Z120" i="1"/>
  <c r="AA120"/>
  <c r="N121" i="20"/>
  <c r="Z121" i="1"/>
  <c r="AA121"/>
  <c r="N122" i="20"/>
  <c r="AA122" i="1"/>
  <c r="N123" i="20"/>
  <c r="N124"/>
  <c r="Z124" i="1"/>
  <c r="AO124" s="1"/>
  <c r="N125" i="20"/>
  <c r="AA125" i="1"/>
  <c r="N126" i="20"/>
  <c r="Z126" i="1"/>
  <c r="AO126" s="1"/>
  <c r="N127" i="20"/>
  <c r="AA127" i="1"/>
  <c r="N128" i="20"/>
  <c r="AA128" i="1"/>
  <c r="N129" i="20"/>
  <c r="Z129" i="1"/>
  <c r="AO129" s="1"/>
  <c r="N130" i="20"/>
  <c r="AA130" i="1"/>
  <c r="N131" i="20"/>
  <c r="N132"/>
  <c r="N133"/>
  <c r="N134"/>
  <c r="Z134" i="1"/>
  <c r="AO134" s="1"/>
  <c r="N135" i="20"/>
  <c r="AA135" i="1"/>
  <c r="N136" i="20"/>
  <c r="Z136" i="1"/>
  <c r="AO136" s="1"/>
  <c r="N137" i="20"/>
  <c r="Z137" i="1"/>
  <c r="AO137" s="1"/>
  <c r="N138" i="20"/>
  <c r="Z138" i="1"/>
  <c r="AO138" s="1"/>
  <c r="N139" i="20"/>
  <c r="N140"/>
  <c r="AA140" i="1"/>
  <c r="N141" i="20"/>
  <c r="Z141" i="1"/>
  <c r="AO141" s="1"/>
  <c r="AT141" s="1"/>
  <c r="N142" i="20"/>
  <c r="AA142" i="1"/>
  <c r="N143" i="20"/>
  <c r="AA143" i="1"/>
  <c r="N144" i="20"/>
  <c r="Z144" i="1"/>
  <c r="AO144" s="1"/>
  <c r="N145" i="20"/>
  <c r="Z145" i="1"/>
  <c r="AO145" s="1"/>
  <c r="N146" i="20"/>
  <c r="AA146" i="1"/>
  <c r="N147" i="20"/>
  <c r="N148"/>
  <c r="Z148" i="1"/>
  <c r="AO148" s="1"/>
  <c r="N149" i="20"/>
  <c r="Z149" i="1"/>
  <c r="AO149" s="1"/>
  <c r="N150" i="20"/>
  <c r="AA150" i="1"/>
  <c r="N151" i="20"/>
  <c r="AA151" i="1"/>
  <c r="N152" i="20"/>
  <c r="Z152" i="1"/>
  <c r="AO152" s="1"/>
  <c r="N153" i="20"/>
  <c r="Z153" i="1"/>
  <c r="AO153" s="1"/>
  <c r="N154" i="20"/>
  <c r="Z154" i="1"/>
  <c r="AO154" s="1"/>
  <c r="N155" i="20"/>
  <c r="Z155" i="1"/>
  <c r="AO155" s="1"/>
  <c r="N156" i="20"/>
  <c r="Z156" i="1"/>
  <c r="AO156" s="1"/>
  <c r="N157" i="20"/>
  <c r="Z157" i="1"/>
  <c r="AO157" s="1"/>
  <c r="N158" i="20"/>
  <c r="Z158" i="1"/>
  <c r="AO158" s="1"/>
  <c r="N159" i="20"/>
  <c r="Z159" i="1"/>
  <c r="AO159" s="1"/>
  <c r="N160" i="20"/>
  <c r="Z160" i="1"/>
  <c r="AA160"/>
  <c r="N161" i="20"/>
  <c r="Z161" i="1"/>
  <c r="AO161" s="1"/>
  <c r="N162" i="20"/>
  <c r="N163"/>
  <c r="Z163" i="1"/>
  <c r="AO163" s="1"/>
  <c r="N164" i="20"/>
  <c r="Z164" i="1"/>
  <c r="AO164" s="1"/>
  <c r="N165" i="20"/>
  <c r="Z165" i="1"/>
  <c r="AO165" s="1"/>
  <c r="N166" i="20"/>
  <c r="Z166" i="1"/>
  <c r="AO166"/>
  <c r="N167" i="20"/>
  <c r="Z167" i="1"/>
  <c r="AO167" s="1"/>
  <c r="N168" i="20"/>
  <c r="Z168" i="1"/>
  <c r="AO168" s="1"/>
  <c r="N169" i="20"/>
  <c r="Z169" i="1"/>
  <c r="AO169" s="1"/>
  <c r="N170" i="20"/>
  <c r="N171"/>
  <c r="Z171" i="1"/>
  <c r="AO171" s="1"/>
  <c r="N172" i="20"/>
  <c r="Z172" i="1"/>
  <c r="AO172" s="1"/>
  <c r="N173" i="20"/>
  <c r="AA173" i="1"/>
  <c r="N174" i="20"/>
  <c r="AA174" i="1"/>
  <c r="N175" i="20"/>
  <c r="AA175" i="1"/>
  <c r="N176" i="20"/>
  <c r="Z176" i="1"/>
  <c r="AA176"/>
  <c r="N177" i="20"/>
  <c r="Z177" i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A183"/>
  <c r="N184" i="20"/>
  <c r="AA184" i="1"/>
  <c r="N185" i="20"/>
  <c r="N186"/>
  <c r="AA186" i="1"/>
  <c r="N187" i="20"/>
  <c r="N188"/>
  <c r="Z188" i="1"/>
  <c r="AO188" s="1"/>
  <c r="N189" i="20"/>
  <c r="Z189" i="1"/>
  <c r="AO189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AO196" s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/>
  <c r="N209" i="20"/>
  <c r="Z209" i="1"/>
  <c r="AA209"/>
  <c r="N210" i="20"/>
  <c r="Z210" i="1"/>
  <c r="AA210"/>
  <c r="N211" i="20"/>
  <c r="Z211" i="1"/>
  <c r="N212" i="20"/>
  <c r="AA212" i="1"/>
  <c r="N213" i="20"/>
  <c r="Z213" i="1"/>
  <c r="N214" i="20"/>
  <c r="AA214" i="1"/>
  <c r="N215" i="20"/>
  <c r="Z215" i="1"/>
  <c r="AA215"/>
  <c r="N216" i="20"/>
  <c r="Z216" i="1"/>
  <c r="AA216"/>
  <c r="N217" i="20"/>
  <c r="Z217" i="1"/>
  <c r="AA217"/>
  <c r="N218" i="20"/>
  <c r="Z218" i="1"/>
  <c r="AA218"/>
  <c r="N219" i="20"/>
  <c r="Z219" i="1"/>
  <c r="AO219"/>
  <c r="N220" i="20"/>
  <c r="AA220" i="1"/>
  <c r="N221" i="20"/>
  <c r="Z221" i="1"/>
  <c r="AO221" s="1"/>
  <c r="N222" i="20"/>
  <c r="AA222" i="1"/>
  <c r="N223" i="20"/>
  <c r="Z223" i="1"/>
  <c r="AO223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s="1"/>
  <c r="N230" i="20"/>
  <c r="Z230" i="1"/>
  <c r="AO230" s="1"/>
  <c r="N231" i="20"/>
  <c r="Z231" i="1"/>
  <c r="AO231" s="1"/>
  <c r="N232" i="20"/>
  <c r="AA232" i="1"/>
  <c r="N233" i="20"/>
  <c r="AA233" i="1"/>
  <c r="N234" i="20"/>
  <c r="AA234" i="1"/>
  <c r="N235" i="20"/>
  <c r="AA235" i="1"/>
  <c r="N236" i="20"/>
  <c r="Z236" i="1"/>
  <c r="AO236" s="1"/>
  <c r="N237" i="20"/>
  <c r="N238"/>
  <c r="AA238" i="1"/>
  <c r="N239" i="20"/>
  <c r="Z239" i="1"/>
  <c r="AO239" s="1"/>
  <c r="N240" i="20"/>
  <c r="Z240" i="1"/>
  <c r="AO240" s="1"/>
  <c r="N241" i="20"/>
  <c r="AA241" i="1"/>
  <c r="N242" i="20"/>
  <c r="AA242" i="1"/>
  <c r="N243" i="20"/>
  <c r="AA243" i="1"/>
  <c r="N244" i="20"/>
  <c r="AA244" i="1"/>
  <c r="N245" i="20"/>
  <c r="N246"/>
  <c r="Z246" i="1"/>
  <c r="AO246" s="1"/>
  <c r="N247" i="20"/>
  <c r="Z247" i="1"/>
  <c r="AO247" s="1"/>
  <c r="N248" i="20"/>
  <c r="Z248" i="1"/>
  <c r="AO248" s="1"/>
  <c r="N249" i="20"/>
  <c r="Z249" i="1"/>
  <c r="AO249" s="1"/>
  <c r="N250" i="20"/>
  <c r="Z250" i="1"/>
  <c r="AO250" s="1"/>
  <c r="N251" i="20"/>
  <c r="AA251" i="1"/>
  <c r="N252" i="20"/>
  <c r="AA252" i="1"/>
  <c r="N253" i="20"/>
  <c r="N254"/>
  <c r="Z254" i="1"/>
  <c r="AO254" s="1"/>
  <c r="N255" i="20"/>
  <c r="Z255" i="1"/>
  <c r="AO255" s="1"/>
  <c r="N256" i="20"/>
  <c r="Z256" i="1"/>
  <c r="AO256" s="1"/>
  <c r="N257" i="20"/>
  <c r="AA257" i="1"/>
  <c r="N258" i="20"/>
  <c r="AA258" i="1"/>
  <c r="N259" i="20"/>
  <c r="AA259" i="1"/>
  <c r="N260" i="20"/>
  <c r="AA260" i="1"/>
  <c r="N261" i="20"/>
  <c r="N262"/>
  <c r="AA262" i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AO283" s="1"/>
  <c r="N284" i="20"/>
  <c r="AA284" i="1"/>
  <c r="N286" i="20"/>
  <c r="N287"/>
  <c r="N288"/>
  <c r="Z288" i="1"/>
  <c r="AO288" s="1"/>
  <c r="N289" i="20"/>
  <c r="N290"/>
  <c r="N291"/>
  <c r="Z291" i="1"/>
  <c r="AO291" s="1"/>
  <c r="N292" i="20"/>
  <c r="Z292" i="1"/>
  <c r="AO292" s="1"/>
  <c r="N293" i="20"/>
  <c r="N294"/>
  <c r="Z294" i="1"/>
  <c r="AO294" s="1"/>
  <c r="N295" i="20"/>
  <c r="Z295" i="1"/>
  <c r="AO295" s="1"/>
  <c r="N296" i="20"/>
  <c r="Z296" i="1"/>
  <c r="AO296" s="1"/>
  <c r="N297" i="20"/>
  <c r="Z297" i="1"/>
  <c r="AO297" s="1"/>
  <c r="AT297" s="1"/>
  <c r="N298" i="20"/>
  <c r="Z298" i="1"/>
  <c r="AO298" s="1"/>
  <c r="N299" i="20"/>
  <c r="Z299" i="1"/>
  <c r="AO299" s="1"/>
  <c r="N300" i="20"/>
  <c r="N301"/>
  <c r="Z301" i="1"/>
  <c r="AO301" s="1"/>
  <c r="N302" i="20"/>
  <c r="Z302" i="1"/>
  <c r="AO302" s="1"/>
  <c r="N303" i="20"/>
  <c r="Z303" i="1"/>
  <c r="AO303" s="1"/>
  <c r="AT303" s="1"/>
  <c r="N304" i="20"/>
  <c r="Z304" i="1"/>
  <c r="AO304" s="1"/>
  <c r="N305" i="20"/>
  <c r="Z305" i="1"/>
  <c r="AO305" s="1"/>
  <c r="N306" i="20"/>
  <c r="Z306" i="1"/>
  <c r="AO306" s="1"/>
  <c r="N307" i="20"/>
  <c r="Z307" i="1"/>
  <c r="AO307" s="1"/>
  <c r="N308" i="20"/>
  <c r="Z308" i="1"/>
  <c r="AO308" s="1"/>
  <c r="N309" i="20"/>
  <c r="Z309" i="1"/>
  <c r="AO309" s="1"/>
  <c r="N310" i="20"/>
  <c r="Z310" i="1"/>
  <c r="AO310" s="1"/>
  <c r="N311" i="20"/>
  <c r="Z311" i="1"/>
  <c r="AO311" s="1"/>
  <c r="N312" i="20"/>
  <c r="Z312" i="1"/>
  <c r="AO312" s="1"/>
  <c r="N313" i="20"/>
  <c r="Z313" i="1"/>
  <c r="AO313" s="1"/>
  <c r="N314" i="20"/>
  <c r="Z314" i="1"/>
  <c r="AO314" s="1"/>
  <c r="N315" i="20"/>
  <c r="Z315" i="1"/>
  <c r="AO315" s="1"/>
  <c r="N316" i="20"/>
  <c r="Z316" i="1"/>
  <c r="AO316" s="1"/>
  <c r="N317" i="20"/>
  <c r="Z317" i="1"/>
  <c r="AO317" s="1"/>
  <c r="AT317" s="1"/>
  <c r="N318" i="20"/>
  <c r="Z318" i="1"/>
  <c r="AO318" s="1"/>
  <c r="N319" i="20"/>
  <c r="Z319" i="1"/>
  <c r="AO319" s="1"/>
  <c r="N320" i="20"/>
  <c r="Z320" i="1"/>
  <c r="AO320" s="1"/>
  <c r="N321" i="20"/>
  <c r="N322"/>
  <c r="Z322" i="1"/>
  <c r="AA322"/>
  <c r="N323" i="20"/>
  <c r="Z323" i="1"/>
  <c r="AO323" s="1"/>
  <c r="N324" i="20"/>
  <c r="Z324" i="1"/>
  <c r="AO324" s="1"/>
  <c r="N325" i="20"/>
  <c r="Z325" i="1"/>
  <c r="AO325" s="1"/>
  <c r="N326" i="20"/>
  <c r="Z326" i="1"/>
  <c r="AO326" s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AO331" s="1"/>
  <c r="N332" i="20"/>
  <c r="Z332" i="1"/>
  <c r="AO332" s="1"/>
  <c r="N333" i="20"/>
  <c r="Z333" i="1"/>
  <c r="AO333" s="1"/>
  <c r="N334" i="20"/>
  <c r="Z334" i="1"/>
  <c r="AO334" s="1"/>
  <c r="N335" i="20"/>
  <c r="Z335" i="1"/>
  <c r="AO335" s="1"/>
  <c r="N336" i="20"/>
  <c r="Z336" i="1"/>
  <c r="AO336" s="1"/>
  <c r="AA336"/>
  <c r="N337" i="20"/>
  <c r="Z337" i="1"/>
  <c r="AA337"/>
  <c r="AP337" s="1"/>
  <c r="N338" i="20"/>
  <c r="Z338" i="1"/>
  <c r="AO338" s="1"/>
  <c r="N339" i="20"/>
  <c r="Z339" i="1"/>
  <c r="AO339" s="1"/>
  <c r="N340" i="20"/>
  <c r="Z340" i="1"/>
  <c r="AO340" s="1"/>
  <c r="N341" i="20"/>
  <c r="Z341" i="1"/>
  <c r="AO341" s="1"/>
  <c r="AT341" s="1"/>
  <c r="N342" i="20"/>
  <c r="Z342" i="1"/>
  <c r="AO342" s="1"/>
  <c r="N343" i="20"/>
  <c r="Z343" i="1"/>
  <c r="AO343" s="1"/>
  <c r="N344" i="20"/>
  <c r="Z344" i="1"/>
  <c r="N345" i="20"/>
  <c r="AA345" i="1"/>
  <c r="N346" i="20"/>
  <c r="Z346" i="1"/>
  <c r="AO346" s="1"/>
  <c r="N347" i="20"/>
  <c r="Z347" i="1"/>
  <c r="AO347" s="1"/>
  <c r="N348" i="20"/>
  <c r="Z348" i="1"/>
  <c r="AO348" s="1"/>
  <c r="N349" i="20"/>
  <c r="Z349" i="1"/>
  <c r="AO349" s="1"/>
  <c r="N350" i="20"/>
  <c r="N351"/>
  <c r="Z351" i="1"/>
  <c r="AO351" s="1"/>
  <c r="N352" i="20"/>
  <c r="Z352" i="1"/>
  <c r="AO352" s="1"/>
  <c r="N353" i="20"/>
  <c r="Z353" i="1"/>
  <c r="AO353" s="1"/>
  <c r="N354" i="20"/>
  <c r="Z354" i="1"/>
  <c r="AO354" s="1"/>
  <c r="N355" i="20"/>
  <c r="Z355" i="1"/>
  <c r="AO355" s="1"/>
  <c r="AT355" s="1"/>
  <c r="N356" i="20"/>
  <c r="Z356" i="1"/>
  <c r="AO356" s="1"/>
  <c r="N357" i="20"/>
  <c r="Z357" i="1"/>
  <c r="AO357" s="1"/>
  <c r="N358" i="20"/>
  <c r="Z358" i="1"/>
  <c r="AO358" s="1"/>
  <c r="N359" i="20"/>
  <c r="Z359" i="1"/>
  <c r="AO359" s="1"/>
  <c r="AT359" s="1"/>
  <c r="N360" i="20"/>
  <c r="Z360" i="1"/>
  <c r="AO360" s="1"/>
  <c r="N361" i="20"/>
  <c r="Z361" i="1"/>
  <c r="AO361" s="1"/>
  <c r="N362" i="20"/>
  <c r="Z362" i="1"/>
  <c r="AO362" s="1"/>
  <c r="N363" i="20"/>
  <c r="Z363" i="1"/>
  <c r="AO363" s="1"/>
  <c r="N364" i="20"/>
  <c r="AA364" i="1"/>
  <c r="N365" i="20"/>
  <c r="AA365" i="1"/>
  <c r="N366" i="20"/>
  <c r="N367"/>
  <c r="AA367" i="1"/>
  <c r="N368" i="20"/>
  <c r="Z368" i="1"/>
  <c r="AO368" s="1"/>
  <c r="N369" i="20"/>
  <c r="Z369" i="1"/>
  <c r="AO369" s="1"/>
  <c r="N370" i="20"/>
  <c r="Z370" i="1"/>
  <c r="AO370" s="1"/>
  <c r="N371" i="20"/>
  <c r="Z371" i="1"/>
  <c r="AO371" s="1"/>
  <c r="N372" i="20"/>
  <c r="Z372" i="1"/>
  <c r="AO372" s="1"/>
  <c r="N373" i="20"/>
  <c r="Z373" i="1"/>
  <c r="AO373" s="1"/>
  <c r="N374" i="20"/>
  <c r="Z374" i="1"/>
  <c r="AO374" s="1"/>
  <c r="N375" i="20"/>
  <c r="Z375" i="1"/>
  <c r="AO375" s="1"/>
  <c r="N376" i="20"/>
  <c r="Z376" i="1"/>
  <c r="AO376" s="1"/>
  <c r="N377" i="20"/>
  <c r="N378"/>
  <c r="Z378" i="1"/>
  <c r="AO378" s="1"/>
  <c r="N379" i="20"/>
  <c r="Z379" i="1"/>
  <c r="AO379" s="1"/>
  <c r="N380" i="20"/>
  <c r="AA380" i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AA389"/>
  <c r="N390" i="20"/>
  <c r="AA390" i="1"/>
  <c r="N391" i="20"/>
  <c r="Z391" i="1"/>
  <c r="N392" i="20"/>
  <c r="AA392" i="1"/>
  <c r="N393" i="20"/>
  <c r="Z393" i="1"/>
  <c r="AA393"/>
  <c r="N394" i="20"/>
  <c r="AA394" i="1"/>
  <c r="N395" i="20"/>
  <c r="Z395" i="1"/>
  <c r="N396" i="20"/>
  <c r="AA396" i="1"/>
  <c r="N397" i="20"/>
  <c r="Z397" i="1"/>
  <c r="AA397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AO415" s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A485"/>
  <c r="N486" i="20"/>
  <c r="Z486" i="1"/>
  <c r="AA486"/>
  <c r="N487" i="20"/>
  <c r="Z487" i="1"/>
  <c r="AA487"/>
  <c r="N488" i="20"/>
  <c r="Z488" i="1"/>
  <c r="AA488"/>
  <c r="N489" i="20"/>
  <c r="Z489" i="1"/>
  <c r="AA489"/>
  <c r="N490" i="20"/>
  <c r="Z490" i="1"/>
  <c r="AA490"/>
  <c r="N491" i="20"/>
  <c r="Z491" i="1"/>
  <c r="AA491"/>
  <c r="N492" i="20"/>
  <c r="Z492" i="1"/>
  <c r="AA492"/>
  <c r="N493" i="20"/>
  <c r="Z493" i="1"/>
  <c r="AA493"/>
  <c r="N494" i="20"/>
  <c r="Z494" i="1"/>
  <c r="AA494"/>
  <c r="N495" i="20"/>
  <c r="Z495" i="1"/>
  <c r="AA495"/>
  <c r="N496" i="20"/>
  <c r="Z496" i="1"/>
  <c r="AA496"/>
  <c r="N497" i="20"/>
  <c r="Z497" i="1"/>
  <c r="AA497"/>
  <c r="N498" i="20"/>
  <c r="Z498" i="1"/>
  <c r="AA498"/>
  <c r="N499" i="20"/>
  <c r="Z499" i="1"/>
  <c r="AA499"/>
  <c r="N500" i="20"/>
  <c r="Z500" i="1"/>
  <c r="AA500"/>
  <c r="N501" i="20"/>
  <c r="Z501" i="1"/>
  <c r="AA501"/>
  <c r="N502" i="20"/>
  <c r="Z502" i="1"/>
  <c r="AA502"/>
  <c r="N503" i="20"/>
  <c r="Z503" i="1"/>
  <c r="AA503"/>
  <c r="N504" i="20"/>
  <c r="Z504" i="1"/>
  <c r="AA504"/>
  <c r="N505" i="20"/>
  <c r="Z505" i="1"/>
  <c r="AA505"/>
  <c r="N506" i="20"/>
  <c r="Z506" i="1"/>
  <c r="AA506"/>
  <c r="N507" i="20"/>
  <c r="Z507" i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/>
  <c r="N529" i="20"/>
  <c r="Z529" i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/>
  <c r="N545" i="20"/>
  <c r="Z545" i="1"/>
  <c r="AA545"/>
  <c r="N546" i="20"/>
  <c r="Z546" i="1"/>
  <c r="AA546"/>
  <c r="N547" i="20"/>
  <c r="Z547" i="1"/>
  <c r="N548" i="20"/>
  <c r="AA548" i="1"/>
  <c r="N549" i="20"/>
  <c r="Z549" i="1"/>
  <c r="N550" i="20"/>
  <c r="AA550" i="1"/>
  <c r="N551" i="20"/>
  <c r="Z551" i="1"/>
  <c r="AA552"/>
  <c r="AA553"/>
  <c r="N554" i="20"/>
  <c r="Z554" i="1"/>
  <c r="N555" i="20"/>
  <c r="AA555" i="1"/>
  <c r="N556" i="20"/>
  <c r="Z556" i="1"/>
  <c r="N557" i="20"/>
  <c r="AA557" i="1"/>
  <c r="AA558"/>
  <c r="AA559"/>
  <c r="N560" i="20"/>
  <c r="Z560" i="1"/>
  <c r="AA560"/>
  <c r="N561" i="20"/>
  <c r="Z561" i="1"/>
  <c r="AA561"/>
  <c r="N562" i="20"/>
  <c r="Z562" i="1"/>
  <c r="AA562"/>
  <c r="N563" i="20"/>
  <c r="AA563" i="1"/>
  <c r="N565" i="20"/>
  <c r="AA565" i="1"/>
  <c r="N566" i="20"/>
  <c r="N567"/>
  <c r="N568"/>
  <c r="N569"/>
  <c r="N570"/>
  <c r="N571"/>
  <c r="N572"/>
  <c r="N573"/>
  <c r="Z573" i="1"/>
  <c r="AO573" s="1"/>
  <c r="N574" i="20"/>
  <c r="Z574" i="1"/>
  <c r="AO574" s="1"/>
  <c r="N575" i="20"/>
  <c r="Z575" i="1"/>
  <c r="AO575" s="1"/>
  <c r="N576" i="20"/>
  <c r="AA576" i="1"/>
  <c r="N577" i="20"/>
  <c r="AA577" i="1"/>
  <c r="N578" i="20"/>
  <c r="AA578" i="1"/>
  <c r="N579" i="20"/>
  <c r="Z579" i="1"/>
  <c r="AO579" s="1"/>
  <c r="N580" i="20"/>
  <c r="AA580" i="1"/>
  <c r="AP580" s="1"/>
  <c r="N581" i="20"/>
  <c r="N582"/>
  <c r="Z582" i="1"/>
  <c r="AO582" s="1"/>
  <c r="AA582"/>
  <c r="AP582" s="1"/>
  <c r="N583" i="20"/>
  <c r="Z583" i="1"/>
  <c r="AO583" s="1"/>
  <c r="AA583"/>
  <c r="AP583" s="1"/>
  <c r="N584" i="20"/>
  <c r="Z584" i="1"/>
  <c r="AO584" s="1"/>
  <c r="AA584"/>
  <c r="AP584" s="1"/>
  <c r="N585" i="20"/>
  <c r="Z585" i="1"/>
  <c r="AO585" s="1"/>
  <c r="N586" i="20"/>
  <c r="Z586" i="1"/>
  <c r="AO586" s="1"/>
  <c r="N587" i="20"/>
  <c r="AA587" i="1"/>
  <c r="AP587" s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Z593" i="1"/>
  <c r="AA593"/>
  <c r="N594" i="20"/>
  <c r="Z594" i="1"/>
  <c r="AA594"/>
  <c r="N595" i="20"/>
  <c r="Z595" i="1"/>
  <c r="AA595"/>
  <c r="N596" i="20"/>
  <c r="Z596" i="1"/>
  <c r="AA596"/>
  <c r="N597" i="20"/>
  <c r="Z597" i="1"/>
  <c r="AA597"/>
  <c r="N598" i="20"/>
  <c r="Z598" i="1"/>
  <c r="AA598"/>
  <c r="N599" i="20"/>
  <c r="Z599" i="1"/>
  <c r="AA599"/>
  <c r="N600" i="20"/>
  <c r="N602"/>
  <c r="AA602" i="1"/>
  <c r="N603" i="20"/>
  <c r="Z603" i="1"/>
  <c r="N604" i="20"/>
  <c r="Z604" i="1"/>
  <c r="AO604" s="1"/>
  <c r="N605" i="20"/>
  <c r="Z605" i="1"/>
  <c r="AA605"/>
  <c r="N606" i="20"/>
  <c r="Z606" i="1"/>
  <c r="AA606"/>
  <c r="N607" i="20"/>
  <c r="Z607" i="1"/>
  <c r="AA607"/>
  <c r="N608" i="20"/>
  <c r="Z608" i="1"/>
  <c r="AO608" s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AA62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N657" i="20"/>
  <c r="Z657" i="1"/>
  <c r="AA657"/>
  <c r="N658" i="20"/>
  <c r="Z658" i="1"/>
  <c r="AA658"/>
  <c r="N659" i="20"/>
  <c r="Z659" i="1"/>
  <c r="AA659"/>
  <c r="N660" i="20"/>
  <c r="Z660" i="1"/>
  <c r="AA660"/>
  <c r="N661" i="20"/>
  <c r="Z661" i="1"/>
  <c r="AA661"/>
  <c r="N662" i="20"/>
  <c r="Z662" i="1"/>
  <c r="AA662"/>
  <c r="N663" i="20"/>
  <c r="Z663" i="1"/>
  <c r="AA663"/>
  <c r="N664" i="20"/>
  <c r="Z664" i="1"/>
  <c r="AA664"/>
  <c r="N665" i="20"/>
  <c r="Z665" i="1"/>
  <c r="AA665"/>
  <c r="N666" i="20"/>
  <c r="Z666" i="1"/>
  <c r="AA666"/>
  <c r="N667" i="20"/>
  <c r="N668"/>
  <c r="Z668" i="1"/>
  <c r="AA668"/>
  <c r="N669" i="20"/>
  <c r="Z669" i="1"/>
  <c r="AA669"/>
  <c r="N670" i="20"/>
  <c r="Z670" i="1"/>
  <c r="AA670"/>
  <c r="N671" i="20"/>
  <c r="Z671" i="1"/>
  <c r="AA671"/>
  <c r="N672" i="20"/>
  <c r="Z672" i="1"/>
  <c r="AA672"/>
  <c r="N673" i="20"/>
  <c r="Z673" i="1"/>
  <c r="AA673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A685"/>
  <c r="N686" i="20"/>
  <c r="Z686" i="1"/>
  <c r="AA686"/>
  <c r="N687" i="20"/>
  <c r="Z687" i="1"/>
  <c r="AA687"/>
  <c r="N688" i="20"/>
  <c r="Z688" i="1"/>
  <c r="AA688"/>
  <c r="N689" i="20"/>
  <c r="Z689" i="1"/>
  <c r="AA689"/>
  <c r="N690" i="20"/>
  <c r="Z690" i="1"/>
  <c r="AA690"/>
  <c r="N691" i="20"/>
  <c r="Z691" i="1"/>
  <c r="AA691"/>
  <c r="N692" i="20"/>
  <c r="Z692" i="1"/>
  <c r="AA692"/>
  <c r="N693" i="20"/>
  <c r="Z693" i="1"/>
  <c r="AA693"/>
  <c r="N694" i="20"/>
  <c r="Z694" i="1"/>
  <c r="AA694"/>
  <c r="N695" i="20"/>
  <c r="Z695" i="1"/>
  <c r="AA695"/>
  <c r="N696" i="20"/>
  <c r="Z696" i="1"/>
  <c r="AA696"/>
  <c r="N697" i="20"/>
  <c r="Z697" i="1"/>
  <c r="AA697"/>
  <c r="N698" i="20"/>
  <c r="Z698" i="1"/>
  <c r="AA698"/>
  <c r="N699" i="20"/>
  <c r="Z699" i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O706" s="1"/>
  <c r="AA706"/>
  <c r="AP706" s="1"/>
  <c r="N707" i="20"/>
  <c r="Z707" i="1"/>
  <c r="AO707" s="1"/>
  <c r="AA707"/>
  <c r="AP707" s="1"/>
  <c r="N708" i="20"/>
  <c r="Z708" i="1"/>
  <c r="AO708" s="1"/>
  <c r="AA708"/>
  <c r="AP708" s="1"/>
  <c r="N709" i="20"/>
  <c r="Z709" i="1"/>
  <c r="AO709" s="1"/>
  <c r="AA709"/>
  <c r="AP709" s="1"/>
  <c r="N710" i="20"/>
  <c r="Z710" i="1"/>
  <c r="AO710" s="1"/>
  <c r="AA710"/>
  <c r="AP710" s="1"/>
  <c r="N711" i="20"/>
  <c r="Z711" i="1"/>
  <c r="AO711" s="1"/>
  <c r="AA711"/>
  <c r="AP711" s="1"/>
  <c r="N712" i="20"/>
  <c r="Z712" i="1"/>
  <c r="AO712" s="1"/>
  <c r="AA712"/>
  <c r="AP712" s="1"/>
  <c r="N713" i="20"/>
  <c r="Z713" i="1"/>
  <c r="AO713" s="1"/>
  <c r="AA713"/>
  <c r="AP713" s="1"/>
  <c r="N714" i="20"/>
  <c r="Z714" i="1"/>
  <c r="AO714" s="1"/>
  <c r="AA714"/>
  <c r="AP714" s="1"/>
  <c r="N715" i="20"/>
  <c r="Z715" i="1"/>
  <c r="AO715" s="1"/>
  <c r="AA715"/>
  <c r="AP715" s="1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A721"/>
  <c r="N722" i="20"/>
  <c r="Z722" i="1"/>
  <c r="AA722"/>
  <c r="N723" i="20"/>
  <c r="Z723" i="1"/>
  <c r="AA723"/>
  <c r="N724" i="20"/>
  <c r="Z724" i="1"/>
  <c r="AA724"/>
  <c r="N725" i="20"/>
  <c r="Z725" i="1"/>
  <c r="AA725"/>
  <c r="N726" i="20"/>
  <c r="Z726" i="1"/>
  <c r="AA726"/>
  <c r="N727" i="20"/>
  <c r="Z727" i="1"/>
  <c r="AA727"/>
  <c r="N728" i="20"/>
  <c r="Z728" i="1"/>
  <c r="AA728"/>
  <c r="N729" i="20"/>
  <c r="Z729" i="1"/>
  <c r="AA729"/>
  <c r="N730" i="20"/>
  <c r="Z730" i="1"/>
  <c r="AA730"/>
  <c r="N731" i="20"/>
  <c r="Z731" i="1"/>
  <c r="AA731"/>
  <c r="N732" i="20"/>
  <c r="Z732" i="1"/>
  <c r="AA732"/>
  <c r="N733" i="20"/>
  <c r="Z733" i="1"/>
  <c r="AA733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A741"/>
  <c r="N742" i="20"/>
  <c r="Z742" i="1"/>
  <c r="AA742"/>
  <c r="N743" i="20"/>
  <c r="Z743" i="1"/>
  <c r="AA743"/>
  <c r="N744" i="20"/>
  <c r="Z744" i="1"/>
  <c r="AA744"/>
  <c r="N745" i="20"/>
  <c r="Z745" i="1"/>
  <c r="AA745"/>
  <c r="N746" i="20"/>
  <c r="Z746" i="1"/>
  <c r="AA746"/>
  <c r="N747" i="20"/>
  <c r="Z747" i="1"/>
  <c r="AA747"/>
  <c r="N748" i="20"/>
  <c r="Z748" i="1"/>
  <c r="AA748"/>
  <c r="N749" i="20"/>
  <c r="Z749" i="1"/>
  <c r="AA749"/>
  <c r="N750" i="20"/>
  <c r="Z750" i="1"/>
  <c r="AA750"/>
  <c r="N751" i="20"/>
  <c r="Z751" i="1"/>
  <c r="AA751"/>
  <c r="N752" i="20"/>
  <c r="Z752" i="1"/>
  <c r="AA752"/>
  <c r="N753" i="20"/>
  <c r="Z753" i="1"/>
  <c r="AA753"/>
  <c r="N754" i="20"/>
  <c r="Z754" i="1"/>
  <c r="AA754"/>
  <c r="N755" i="20"/>
  <c r="Z755" i="1"/>
  <c r="AA755"/>
  <c r="N756" i="20"/>
  <c r="Z756" i="1"/>
  <c r="AA756"/>
  <c r="N757" i="20"/>
  <c r="Z757" i="1"/>
  <c r="AA757"/>
  <c r="N758" i="20"/>
  <c r="Z758" i="1"/>
  <c r="AA758"/>
  <c r="N759" i="20"/>
  <c r="Z759" i="1"/>
  <c r="AA759"/>
  <c r="N760" i="20"/>
  <c r="Z760" i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A769"/>
  <c r="N770" i="20"/>
  <c r="Z770" i="1"/>
  <c r="AA770"/>
  <c r="N771" i="20"/>
  <c r="Z771" i="1"/>
  <c r="AA771"/>
  <c r="N772" i="20"/>
  <c r="Z772" i="1"/>
  <c r="AA772"/>
  <c r="N773" i="20"/>
  <c r="Z773" i="1"/>
  <c r="AA773"/>
  <c r="N774" i="20"/>
  <c r="Z774" i="1"/>
  <c r="AA774"/>
  <c r="N775" i="20"/>
  <c r="Z775" i="1"/>
  <c r="AA775"/>
  <c r="N776" i="20"/>
  <c r="Z776" i="1"/>
  <c r="AA776"/>
  <c r="N777" i="20"/>
  <c r="Z777" i="1"/>
  <c r="AA777"/>
  <c r="N778" i="20"/>
  <c r="Z778" i="1"/>
  <c r="AA778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AA789"/>
  <c r="N790" i="20"/>
  <c r="Z790" i="1"/>
  <c r="AA790"/>
  <c r="N791" i="20"/>
  <c r="Z791" i="1"/>
  <c r="AA791"/>
  <c r="N792" i="20"/>
  <c r="Z792" i="1"/>
  <c r="AA792"/>
  <c r="N793" i="20"/>
  <c r="Z793" i="1"/>
  <c r="AA793"/>
  <c r="N794" i="20"/>
  <c r="Z794" i="1"/>
  <c r="AA794"/>
  <c r="N795" i="20"/>
  <c r="Z795" i="1"/>
  <c r="AA795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N801" i="20"/>
  <c r="Z801" i="1"/>
  <c r="AA801"/>
  <c r="N802" i="20"/>
  <c r="Z802" i="1"/>
  <c r="AA802"/>
  <c r="N803" i="20"/>
  <c r="Z803" i="1"/>
  <c r="AA803"/>
  <c r="N804" i="20"/>
  <c r="Z804" i="1"/>
  <c r="AA804"/>
  <c r="N805" i="20"/>
  <c r="Z805" i="1"/>
  <c r="AA805"/>
  <c r="N806" i="20"/>
  <c r="Z806" i="1"/>
  <c r="AA806"/>
  <c r="N807" i="20"/>
  <c r="Z807" i="1"/>
  <c r="AA807"/>
  <c r="N808" i="20"/>
  <c r="Z808" i="1"/>
  <c r="AA808"/>
  <c r="N809" i="20"/>
  <c r="Z809" i="1"/>
  <c r="AA809"/>
  <c r="N810" i="20"/>
  <c r="Z810" i="1"/>
  <c r="AA810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A815"/>
  <c r="N816" i="20"/>
  <c r="Z816" i="1"/>
  <c r="AA816"/>
  <c r="N817" i="20"/>
  <c r="Z817" i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AO832" s="1"/>
  <c r="AT832" s="1"/>
  <c r="N833" i="20"/>
  <c r="Z833" i="1"/>
  <c r="AO833" s="1"/>
  <c r="AT833" s="1"/>
  <c r="N834" i="20"/>
  <c r="Z834" i="1"/>
  <c r="AO834" s="1"/>
  <c r="N835" i="20"/>
  <c r="N836"/>
  <c r="N837"/>
  <c r="Z837" i="1"/>
  <c r="AO837" s="1"/>
  <c r="AT837" s="1"/>
  <c r="N838" i="20"/>
  <c r="Z838" i="1"/>
  <c r="AO838" s="1"/>
  <c r="N839" i="20"/>
  <c r="Z839" i="1"/>
  <c r="AO839" s="1"/>
  <c r="AT839" s="1"/>
  <c r="N840" i="20"/>
  <c r="Z840" i="1"/>
  <c r="AO840" s="1"/>
  <c r="N841" i="20"/>
  <c r="Z841" i="1"/>
  <c r="AO841" s="1"/>
  <c r="AT841" s="1"/>
  <c r="N842" i="20"/>
  <c r="N843"/>
  <c r="N844"/>
  <c r="N845"/>
  <c r="N846"/>
  <c r="Z846" i="1"/>
  <c r="AO846" s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AO858" s="1"/>
  <c r="AT858" s="1"/>
  <c r="N859" i="20"/>
  <c r="Z859" i="1"/>
  <c r="AO859" s="1"/>
  <c r="N860" i="20"/>
  <c r="Z860" i="1"/>
  <c r="AO860" s="1"/>
  <c r="AT860" s="1"/>
  <c r="N861" i="20"/>
  <c r="Z861" i="1"/>
  <c r="AO861" s="1"/>
  <c r="N862" i="20"/>
  <c r="Z862" i="1"/>
  <c r="AO862" s="1"/>
  <c r="N863" i="20"/>
  <c r="Z863" i="1"/>
  <c r="AO863" s="1"/>
  <c r="N864" i="20"/>
  <c r="Z864" i="1"/>
  <c r="AO864" s="1"/>
  <c r="AT864" s="1"/>
  <c r="N865" i="20"/>
  <c r="Z865" i="1"/>
  <c r="AO865" s="1"/>
  <c r="AT865" s="1"/>
  <c r="N866" i="20"/>
  <c r="Z866" i="1"/>
  <c r="AO866" s="1"/>
  <c r="N867" i="20"/>
  <c r="Z867" i="1"/>
  <c r="AO867" s="1"/>
  <c r="AT867" s="1"/>
  <c r="N868" i="20"/>
  <c r="AA868" i="1"/>
  <c r="N869" i="20"/>
  <c r="N870"/>
  <c r="N871"/>
  <c r="AA871" i="1"/>
  <c r="N872" i="20"/>
  <c r="AA872" i="1"/>
  <c r="N873" i="20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AO884" s="1"/>
  <c r="N885" i="20"/>
  <c r="N886"/>
  <c r="N887"/>
  <c r="Z887" i="1"/>
  <c r="AO887" s="1"/>
  <c r="AT887" s="1"/>
  <c r="O888" i="20"/>
  <c r="P888"/>
  <c r="Q888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 s="1"/>
  <c r="B77" s="1"/>
  <c r="B78" s="1"/>
  <c r="B79" s="1"/>
  <c r="B80" s="1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 s="1"/>
  <c r="E31" i="4"/>
  <c r="E31" i="8" s="1"/>
  <c r="K31" i="4"/>
  <c r="K31" i="8"/>
  <c r="E32" i="4"/>
  <c r="E32" i="8"/>
  <c r="K32" i="4"/>
  <c r="K32" i="8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 s="1"/>
  <c r="B77" s="1"/>
  <c r="B78" s="1"/>
  <c r="B79" s="1"/>
  <c r="B80" s="1"/>
  <c r="B81" s="1"/>
  <c r="B82" s="1"/>
  <c r="E78"/>
  <c r="K78"/>
  <c r="E79"/>
  <c r="K79"/>
  <c r="E80"/>
  <c r="K80"/>
  <c r="E81"/>
  <c r="K81"/>
  <c r="E85"/>
  <c r="E85" i="8" s="1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G32" s="1"/>
  <c r="H22"/>
  <c r="J22"/>
  <c r="J78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/>
  <c r="J23" s="1"/>
  <c r="K30"/>
  <c r="M41"/>
  <c r="N41"/>
  <c r="M42"/>
  <c r="N42"/>
  <c r="D43"/>
  <c r="E43"/>
  <c r="G43"/>
  <c r="H43"/>
  <c r="J43"/>
  <c r="J82" s="1"/>
  <c r="J39" s="1"/>
  <c r="K43"/>
  <c r="M45"/>
  <c r="N45"/>
  <c r="M46"/>
  <c r="M47"/>
  <c r="N46"/>
  <c r="D47"/>
  <c r="D84" s="1"/>
  <c r="D44" s="1"/>
  <c r="E47"/>
  <c r="G47"/>
  <c r="H47"/>
  <c r="J47"/>
  <c r="J84"/>
  <c r="J44" s="1"/>
  <c r="K47"/>
  <c r="K84"/>
  <c r="K44" s="1"/>
  <c r="M49"/>
  <c r="N49"/>
  <c r="M50"/>
  <c r="N50"/>
  <c r="D51"/>
  <c r="D86"/>
  <c r="E51"/>
  <c r="G51"/>
  <c r="H51"/>
  <c r="J51"/>
  <c r="J86" s="1"/>
  <c r="J48" s="1"/>
  <c r="K51"/>
  <c r="K86" s="1"/>
  <c r="K48" s="1"/>
  <c r="M53"/>
  <c r="N53"/>
  <c r="M54"/>
  <c r="N54"/>
  <c r="M55"/>
  <c r="N55"/>
  <c r="D56"/>
  <c r="D88" s="1"/>
  <c r="E56"/>
  <c r="G56"/>
  <c r="H56"/>
  <c r="J56"/>
  <c r="J88"/>
  <c r="J52" s="1"/>
  <c r="K56"/>
  <c r="K88"/>
  <c r="K52" s="1"/>
  <c r="D72"/>
  <c r="AK6" i="1"/>
  <c r="Q8"/>
  <c r="S8"/>
  <c r="X8"/>
  <c r="Z8"/>
  <c r="N10"/>
  <c r="E12"/>
  <c r="N14"/>
  <c r="AJ14"/>
  <c r="S14"/>
  <c r="T14"/>
  <c r="D63" i="4" s="1"/>
  <c r="D63" i="8" s="1"/>
  <c r="V14" i="1"/>
  <c r="W14"/>
  <c r="X14"/>
  <c r="Y14"/>
  <c r="AN14" s="1"/>
  <c r="AG14"/>
  <c r="AH14"/>
  <c r="J63" i="4"/>
  <c r="J63" i="8" s="1"/>
  <c r="N15" i="1"/>
  <c r="AJ15"/>
  <c r="S15"/>
  <c r="T15"/>
  <c r="AM15"/>
  <c r="AG15"/>
  <c r="AH15"/>
  <c r="AN15"/>
  <c r="N16"/>
  <c r="AJ16"/>
  <c r="N17"/>
  <c r="AJ17"/>
  <c r="T17"/>
  <c r="N18"/>
  <c r="AJ18" s="1"/>
  <c r="AM18"/>
  <c r="AN18"/>
  <c r="N19"/>
  <c r="AJ19" s="1"/>
  <c r="T19"/>
  <c r="AP19" s="1"/>
  <c r="AT19" s="1"/>
  <c r="N20"/>
  <c r="AJ20"/>
  <c r="T20"/>
  <c r="N21"/>
  <c r="AJ21" s="1"/>
  <c r="AM21"/>
  <c r="N22"/>
  <c r="AJ22"/>
  <c r="T22"/>
  <c r="AP22" s="1"/>
  <c r="AT22" s="1"/>
  <c r="AM22"/>
  <c r="AN22"/>
  <c r="N23"/>
  <c r="AJ23" s="1"/>
  <c r="AK23"/>
  <c r="AR23" s="1"/>
  <c r="AN23"/>
  <c r="N24"/>
  <c r="AJ24" s="1"/>
  <c r="S24"/>
  <c r="T24"/>
  <c r="AN24"/>
  <c r="N25"/>
  <c r="AJ25"/>
  <c r="S25"/>
  <c r="T25"/>
  <c r="AM25"/>
  <c r="N26"/>
  <c r="AJ26" s="1"/>
  <c r="T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 s="1"/>
  <c r="N54"/>
  <c r="AJ54" s="1"/>
  <c r="AN54"/>
  <c r="N55"/>
  <c r="AJ55"/>
  <c r="AK55"/>
  <c r="AR55" s="1"/>
  <c r="N56"/>
  <c r="AJ56" s="1"/>
  <c r="T56"/>
  <c r="AN56"/>
  <c r="N57"/>
  <c r="AJ57" s="1"/>
  <c r="T57"/>
  <c r="AM57"/>
  <c r="N58"/>
  <c r="AJ58" s="1"/>
  <c r="T58"/>
  <c r="AN58"/>
  <c r="N59"/>
  <c r="AJ59" s="1"/>
  <c r="T59"/>
  <c r="N60"/>
  <c r="AJ60"/>
  <c r="S60"/>
  <c r="AO60" s="1"/>
  <c r="T60"/>
  <c r="AM60"/>
  <c r="AN60"/>
  <c r="N61"/>
  <c r="AJ61"/>
  <c r="S61"/>
  <c r="AO61" s="1"/>
  <c r="T61"/>
  <c r="AP61" s="1"/>
  <c r="AK61"/>
  <c r="N62"/>
  <c r="AJ62" s="1"/>
  <c r="T62"/>
  <c r="N63"/>
  <c r="T63"/>
  <c r="AJ63"/>
  <c r="N64"/>
  <c r="AJ64" s="1"/>
  <c r="T64"/>
  <c r="AM64"/>
  <c r="AN64"/>
  <c r="N65"/>
  <c r="T65"/>
  <c r="AM65"/>
  <c r="AJ65"/>
  <c r="N66"/>
  <c r="T66"/>
  <c r="AM66"/>
  <c r="AN66"/>
  <c r="AJ66"/>
  <c r="N67"/>
  <c r="AJ67" s="1"/>
  <c r="T67"/>
  <c r="AM67"/>
  <c r="N68"/>
  <c r="AJ68" s="1"/>
  <c r="T68"/>
  <c r="AP68" s="1"/>
  <c r="AN68"/>
  <c r="N69"/>
  <c r="AJ69" s="1"/>
  <c r="T69"/>
  <c r="AL69"/>
  <c r="AR69" s="1"/>
  <c r="AJ70"/>
  <c r="N71"/>
  <c r="AJ71"/>
  <c r="D19" i="4"/>
  <c r="D19" i="8" s="1"/>
  <c r="AG71" i="1"/>
  <c r="J19" i="4" s="1"/>
  <c r="J19" i="8" s="1"/>
  <c r="N72" i="1"/>
  <c r="AJ72" s="1"/>
  <c r="AM72"/>
  <c r="N73"/>
  <c r="AJ73"/>
  <c r="AK73"/>
  <c r="N74"/>
  <c r="AJ74" s="1"/>
  <c r="AM74"/>
  <c r="N75"/>
  <c r="AJ75"/>
  <c r="AK75"/>
  <c r="AN75"/>
  <c r="N76"/>
  <c r="AJ76"/>
  <c r="AM76"/>
  <c r="AN76"/>
  <c r="N77"/>
  <c r="AJ77"/>
  <c r="AK77"/>
  <c r="AR77" s="1"/>
  <c r="AN77"/>
  <c r="N78"/>
  <c r="AJ78" s="1"/>
  <c r="AM78"/>
  <c r="AN78"/>
  <c r="N79"/>
  <c r="AJ79" s="1"/>
  <c r="AK79"/>
  <c r="AR79" s="1"/>
  <c r="AN79"/>
  <c r="N80"/>
  <c r="AJ80" s="1"/>
  <c r="AM80"/>
  <c r="AN80"/>
  <c r="N81"/>
  <c r="AJ81" s="1"/>
  <c r="AK81"/>
  <c r="AR81" s="1"/>
  <c r="N82"/>
  <c r="AJ82"/>
  <c r="AK82"/>
  <c r="AR82" s="1"/>
  <c r="AM82"/>
  <c r="AN82"/>
  <c r="N83"/>
  <c r="AJ83" s="1"/>
  <c r="N84"/>
  <c r="AJ84" s="1"/>
  <c r="AM84"/>
  <c r="AN84"/>
  <c r="N85"/>
  <c r="AJ85" s="1"/>
  <c r="AK85"/>
  <c r="AR85" s="1"/>
  <c r="AN85"/>
  <c r="N86"/>
  <c r="AJ86" s="1"/>
  <c r="AN86"/>
  <c r="N87"/>
  <c r="AJ87"/>
  <c r="AK87"/>
  <c r="AN87"/>
  <c r="N88"/>
  <c r="AJ88"/>
  <c r="AM88"/>
  <c r="N89"/>
  <c r="AJ89" s="1"/>
  <c r="AK89"/>
  <c r="AR89" s="1"/>
  <c r="AN89"/>
  <c r="N90"/>
  <c r="AJ90"/>
  <c r="AM90"/>
  <c r="AN90"/>
  <c r="N91"/>
  <c r="AJ91"/>
  <c r="AK91"/>
  <c r="AR91" s="1"/>
  <c r="AN91"/>
  <c r="J17" i="4"/>
  <c r="J17" i="8" s="1"/>
  <c r="N92" i="1"/>
  <c r="AJ92" s="1"/>
  <c r="AM92"/>
  <c r="AN92"/>
  <c r="N93"/>
  <c r="AJ93" s="1"/>
  <c r="AM93"/>
  <c r="AN93"/>
  <c r="J18" i="4"/>
  <c r="J18" i="8" s="1"/>
  <c r="AK93" i="1"/>
  <c r="AR93" s="1"/>
  <c r="N94"/>
  <c r="AJ94" s="1"/>
  <c r="AL94"/>
  <c r="AR94" s="1"/>
  <c r="AM94"/>
  <c r="AN94"/>
  <c r="N95"/>
  <c r="AJ95"/>
  <c r="AL95"/>
  <c r="AR95" s="1"/>
  <c r="AN95"/>
  <c r="N96"/>
  <c r="AJ96"/>
  <c r="AL96"/>
  <c r="AR96"/>
  <c r="AM96"/>
  <c r="AN96"/>
  <c r="N97"/>
  <c r="AJ97"/>
  <c r="AL97"/>
  <c r="AR97" s="1"/>
  <c r="AM97"/>
  <c r="AN97"/>
  <c r="N98"/>
  <c r="AJ98" s="1"/>
  <c r="AL98"/>
  <c r="AR98" s="1"/>
  <c r="AM98"/>
  <c r="AN98"/>
  <c r="N99"/>
  <c r="AJ99"/>
  <c r="AL99"/>
  <c r="AR99" s="1"/>
  <c r="AN99"/>
  <c r="N100"/>
  <c r="AJ100"/>
  <c r="AL100"/>
  <c r="AR100" s="1"/>
  <c r="AM100"/>
  <c r="AN100"/>
  <c r="N101"/>
  <c r="AJ101"/>
  <c r="AL101"/>
  <c r="AN101"/>
  <c r="AJ102"/>
  <c r="N103"/>
  <c r="AJ103" s="1"/>
  <c r="AM103"/>
  <c r="AN103"/>
  <c r="N104"/>
  <c r="AM104"/>
  <c r="AN104"/>
  <c r="AJ104"/>
  <c r="AK104"/>
  <c r="AR104" s="1"/>
  <c r="N105"/>
  <c r="AJ105"/>
  <c r="AK105"/>
  <c r="AR105" s="1"/>
  <c r="AM105"/>
  <c r="AN105"/>
  <c r="N106"/>
  <c r="AJ106" s="1"/>
  <c r="AK106"/>
  <c r="AR106" s="1"/>
  <c r="AM106"/>
  <c r="AN106"/>
  <c r="AT106"/>
  <c r="N107"/>
  <c r="AJ107" s="1"/>
  <c r="AN107"/>
  <c r="N108"/>
  <c r="AM108"/>
  <c r="AN108"/>
  <c r="AT108"/>
  <c r="AJ108"/>
  <c r="AK108"/>
  <c r="AR108" s="1"/>
  <c r="N109"/>
  <c r="AJ109"/>
  <c r="AM109"/>
  <c r="AN109"/>
  <c r="N110"/>
  <c r="AJ110"/>
  <c r="AK110"/>
  <c r="AR110" s="1"/>
  <c r="AN110"/>
  <c r="N111"/>
  <c r="AJ111"/>
  <c r="AN111"/>
  <c r="N112"/>
  <c r="AJ112" s="1"/>
  <c r="AK112"/>
  <c r="AR112" s="1"/>
  <c r="AN112"/>
  <c r="AJ113"/>
  <c r="N114"/>
  <c r="AJ114"/>
  <c r="T114"/>
  <c r="AL114"/>
  <c r="AR114" s="1"/>
  <c r="AN114"/>
  <c r="AH114"/>
  <c r="N115"/>
  <c r="AJ115"/>
  <c r="S115"/>
  <c r="AM115"/>
  <c r="AG115"/>
  <c r="N116"/>
  <c r="AJ116" s="1"/>
  <c r="T116"/>
  <c r="AL116"/>
  <c r="AR116" s="1"/>
  <c r="N117"/>
  <c r="AJ117"/>
  <c r="S117"/>
  <c r="AG117"/>
  <c r="N118"/>
  <c r="AJ118"/>
  <c r="T118"/>
  <c r="AL118"/>
  <c r="AR118" s="1"/>
  <c r="AH118"/>
  <c r="N119"/>
  <c r="AJ119" s="1"/>
  <c r="AM119"/>
  <c r="AN119"/>
  <c r="N120"/>
  <c r="AJ120" s="1"/>
  <c r="S120"/>
  <c r="T120"/>
  <c r="AK120"/>
  <c r="AN120"/>
  <c r="AG120"/>
  <c r="AH120"/>
  <c r="N121"/>
  <c r="AJ121" s="1"/>
  <c r="S121"/>
  <c r="T121"/>
  <c r="AK121"/>
  <c r="AM121"/>
  <c r="AN121"/>
  <c r="AG121"/>
  <c r="AH121"/>
  <c r="N122"/>
  <c r="AJ122"/>
  <c r="T122"/>
  <c r="AN122"/>
  <c r="AH122"/>
  <c r="N123"/>
  <c r="AJ123" s="1"/>
  <c r="AM123"/>
  <c r="AN123"/>
  <c r="N124"/>
  <c r="AJ124" s="1"/>
  <c r="AK124"/>
  <c r="AR124" s="1"/>
  <c r="AN124"/>
  <c r="N125"/>
  <c r="AJ125" s="1"/>
  <c r="T125"/>
  <c r="AL125"/>
  <c r="AR125" s="1"/>
  <c r="AM125"/>
  <c r="AN125"/>
  <c r="AH125"/>
  <c r="N126"/>
  <c r="AJ126" s="1"/>
  <c r="AK126"/>
  <c r="AN126"/>
  <c r="N127"/>
  <c r="AJ127" s="1"/>
  <c r="T127"/>
  <c r="AL127"/>
  <c r="AR127" s="1"/>
  <c r="AM127"/>
  <c r="AN127"/>
  <c r="AH127"/>
  <c r="N128"/>
  <c r="AJ128" s="1"/>
  <c r="T128"/>
  <c r="AN128"/>
  <c r="AH128"/>
  <c r="N129"/>
  <c r="AJ129"/>
  <c r="AM129"/>
  <c r="AN129"/>
  <c r="N130"/>
  <c r="AJ130"/>
  <c r="T130"/>
  <c r="AN130"/>
  <c r="AH130"/>
  <c r="N131"/>
  <c r="AJ131" s="1"/>
  <c r="AM131"/>
  <c r="AN131"/>
  <c r="N132"/>
  <c r="AJ132" s="1"/>
  <c r="T132"/>
  <c r="AN132"/>
  <c r="AH132"/>
  <c r="N133"/>
  <c r="AJ133"/>
  <c r="T133"/>
  <c r="AL133"/>
  <c r="AR133" s="1"/>
  <c r="AM133"/>
  <c r="AN133"/>
  <c r="AH133"/>
  <c r="N134"/>
  <c r="AJ134" s="1"/>
  <c r="AK134"/>
  <c r="AR134" s="1"/>
  <c r="AN134"/>
  <c r="N135"/>
  <c r="AJ135" s="1"/>
  <c r="T135"/>
  <c r="AL135"/>
  <c r="AR135" s="1"/>
  <c r="AM135"/>
  <c r="AN135"/>
  <c r="AH135"/>
  <c r="N136"/>
  <c r="AJ136" s="1"/>
  <c r="AK136"/>
  <c r="AR136" s="1"/>
  <c r="AN136"/>
  <c r="N137"/>
  <c r="AJ137" s="1"/>
  <c r="AM137"/>
  <c r="AN137"/>
  <c r="N138"/>
  <c r="AJ138" s="1"/>
  <c r="AK138"/>
  <c r="AR138" s="1"/>
  <c r="AN138"/>
  <c r="N139"/>
  <c r="AJ139" s="1"/>
  <c r="T139"/>
  <c r="AL139"/>
  <c r="AR139" s="1"/>
  <c r="AM139"/>
  <c r="AN139"/>
  <c r="AH139"/>
  <c r="N140"/>
  <c r="AJ140"/>
  <c r="T140"/>
  <c r="AN140"/>
  <c r="AH140"/>
  <c r="N141"/>
  <c r="AJ141" s="1"/>
  <c r="AM141"/>
  <c r="AN141"/>
  <c r="N142"/>
  <c r="T142"/>
  <c r="AN142"/>
  <c r="AH142"/>
  <c r="AJ142"/>
  <c r="AM142"/>
  <c r="N143"/>
  <c r="AJ143" s="1"/>
  <c r="T143"/>
  <c r="AL143"/>
  <c r="AR143" s="1"/>
  <c r="AM143"/>
  <c r="AN143"/>
  <c r="AH143"/>
  <c r="N144"/>
  <c r="AN144"/>
  <c r="AJ144"/>
  <c r="AK144"/>
  <c r="AR144" s="1"/>
  <c r="N145"/>
  <c r="AJ145"/>
  <c r="AM145"/>
  <c r="AN145"/>
  <c r="N146"/>
  <c r="T146"/>
  <c r="AN146"/>
  <c r="AH146"/>
  <c r="AJ146"/>
  <c r="N147"/>
  <c r="AJ147" s="1"/>
  <c r="AN147"/>
  <c r="N148"/>
  <c r="AJ148"/>
  <c r="N149"/>
  <c r="AJ149"/>
  <c r="AM149"/>
  <c r="N150"/>
  <c r="AJ150" s="1"/>
  <c r="T150"/>
  <c r="AN150"/>
  <c r="AH150"/>
  <c r="N151"/>
  <c r="AJ151"/>
  <c r="T151"/>
  <c r="AL151"/>
  <c r="AN151"/>
  <c r="AH151"/>
  <c r="N152"/>
  <c r="AJ152"/>
  <c r="AK152"/>
  <c r="N153"/>
  <c r="AJ153" s="1"/>
  <c r="AM153"/>
  <c r="AN153"/>
  <c r="N154"/>
  <c r="AJ154" s="1"/>
  <c r="AK154"/>
  <c r="AR154" s="1"/>
  <c r="AN154"/>
  <c r="N155"/>
  <c r="AJ155" s="1"/>
  <c r="AM155"/>
  <c r="AN155"/>
  <c r="N156"/>
  <c r="AJ156" s="1"/>
  <c r="AK156"/>
  <c r="AN156"/>
  <c r="N157"/>
  <c r="AJ157" s="1"/>
  <c r="AM157"/>
  <c r="AN157"/>
  <c r="N158"/>
  <c r="AJ158" s="1"/>
  <c r="AK158"/>
  <c r="AN158"/>
  <c r="AS158" s="1"/>
  <c r="N159"/>
  <c r="AJ159" s="1"/>
  <c r="AM159"/>
  <c r="AN159"/>
  <c r="N160"/>
  <c r="AJ160" s="1"/>
  <c r="S160"/>
  <c r="T160"/>
  <c r="AN160"/>
  <c r="AG160"/>
  <c r="AH160"/>
  <c r="N161"/>
  <c r="AJ161"/>
  <c r="AM161"/>
  <c r="N162"/>
  <c r="AJ162" s="1"/>
  <c r="AK162"/>
  <c r="AR162" s="1"/>
  <c r="AN162"/>
  <c r="N163"/>
  <c r="AJ163" s="1"/>
  <c r="AM163"/>
  <c r="AN163"/>
  <c r="N164"/>
  <c r="AJ164" s="1"/>
  <c r="AK164"/>
  <c r="AR164" s="1"/>
  <c r="AN164"/>
  <c r="N165"/>
  <c r="AJ165" s="1"/>
  <c r="AM165"/>
  <c r="AN165"/>
  <c r="N166"/>
  <c r="AJ166" s="1"/>
  <c r="AK166"/>
  <c r="AR166" s="1"/>
  <c r="AN166"/>
  <c r="N167"/>
  <c r="AJ167" s="1"/>
  <c r="AM167"/>
  <c r="AN167"/>
  <c r="N168"/>
  <c r="AJ168" s="1"/>
  <c r="AK168"/>
  <c r="AR168" s="1"/>
  <c r="AN168"/>
  <c r="N169"/>
  <c r="AJ169" s="1"/>
  <c r="AM169"/>
  <c r="AN169"/>
  <c r="N170"/>
  <c r="AJ170" s="1"/>
  <c r="AK170"/>
  <c r="N171"/>
  <c r="AJ171"/>
  <c r="AM171"/>
  <c r="N172"/>
  <c r="AJ172" s="1"/>
  <c r="N173"/>
  <c r="AJ173" s="1"/>
  <c r="T173"/>
  <c r="AL173"/>
  <c r="AR173" s="1"/>
  <c r="AM173"/>
  <c r="AH173"/>
  <c r="N174"/>
  <c r="T174"/>
  <c r="AN174"/>
  <c r="AH174"/>
  <c r="AJ174"/>
  <c r="N175"/>
  <c r="AJ175"/>
  <c r="T175"/>
  <c r="AM175"/>
  <c r="AN175"/>
  <c r="AH175"/>
  <c r="N176"/>
  <c r="AJ176"/>
  <c r="S176"/>
  <c r="T176"/>
  <c r="AG176"/>
  <c r="AH176"/>
  <c r="AN176"/>
  <c r="N177"/>
  <c r="S177"/>
  <c r="T177"/>
  <c r="P64" i="33"/>
  <c r="AM177" i="1"/>
  <c r="AN177"/>
  <c r="AJ177"/>
  <c r="N178"/>
  <c r="AJ178"/>
  <c r="S178"/>
  <c r="T178"/>
  <c r="AM178"/>
  <c r="AG178"/>
  <c r="AH178"/>
  <c r="N179"/>
  <c r="AJ179" s="1"/>
  <c r="AM179"/>
  <c r="AN179"/>
  <c r="AG179"/>
  <c r="AH179"/>
  <c r="N180"/>
  <c r="AJ180" s="1"/>
  <c r="S180"/>
  <c r="T180"/>
  <c r="AL180"/>
  <c r="AM180"/>
  <c r="AG180"/>
  <c r="AH180"/>
  <c r="AN180"/>
  <c r="N181"/>
  <c r="AJ181"/>
  <c r="S181"/>
  <c r="T181"/>
  <c r="AN181"/>
  <c r="AG181"/>
  <c r="AH181"/>
  <c r="N182"/>
  <c r="AJ182" s="1"/>
  <c r="S182"/>
  <c r="T182"/>
  <c r="AG182"/>
  <c r="AH182"/>
  <c r="AN182"/>
  <c r="N183"/>
  <c r="AJ183"/>
  <c r="S183"/>
  <c r="T183"/>
  <c r="AG183"/>
  <c r="AH183"/>
  <c r="N184"/>
  <c r="AJ184"/>
  <c r="T184"/>
  <c r="AN184"/>
  <c r="AH184"/>
  <c r="N185"/>
  <c r="AJ185" s="1"/>
  <c r="N186"/>
  <c r="AJ186" s="1"/>
  <c r="T186"/>
  <c r="AH186"/>
  <c r="N187"/>
  <c r="AJ187" s="1"/>
  <c r="AL187"/>
  <c r="AR187" s="1"/>
  <c r="P19" i="35"/>
  <c r="AM187" i="1"/>
  <c r="N188"/>
  <c r="AJ188"/>
  <c r="AN188"/>
  <c r="N189"/>
  <c r="AJ189" s="1"/>
  <c r="AN189"/>
  <c r="N190"/>
  <c r="AJ190"/>
  <c r="T190"/>
  <c r="AN190"/>
  <c r="AH190"/>
  <c r="N191"/>
  <c r="AJ191" s="1"/>
  <c r="S191"/>
  <c r="T191"/>
  <c r="AM191"/>
  <c r="AG191"/>
  <c r="AH191"/>
  <c r="N192"/>
  <c r="AJ192"/>
  <c r="S192"/>
  <c r="T192"/>
  <c r="AP192" s="1"/>
  <c r="AK192"/>
  <c r="AG192"/>
  <c r="AH192"/>
  <c r="N193"/>
  <c r="AJ193" s="1"/>
  <c r="S193"/>
  <c r="T193"/>
  <c r="AM193"/>
  <c r="AG193"/>
  <c r="AH193"/>
  <c r="N194"/>
  <c r="AJ194"/>
  <c r="S194"/>
  <c r="T194"/>
  <c r="AK194"/>
  <c r="AG194"/>
  <c r="AH194"/>
  <c r="N195"/>
  <c r="AJ195" s="1"/>
  <c r="T195"/>
  <c r="AN195"/>
  <c r="AH195"/>
  <c r="AM195"/>
  <c r="N196"/>
  <c r="AJ196" s="1"/>
  <c r="N197"/>
  <c r="AJ197" s="1"/>
  <c r="T197"/>
  <c r="AP197" s="1"/>
  <c r="AM197"/>
  <c r="AH197"/>
  <c r="N198"/>
  <c r="AJ198" s="1"/>
  <c r="AN198"/>
  <c r="AH198"/>
  <c r="N199"/>
  <c r="AJ199"/>
  <c r="S199"/>
  <c r="T199"/>
  <c r="AG199"/>
  <c r="AH199"/>
  <c r="AN199"/>
  <c r="N200"/>
  <c r="AJ200" s="1"/>
  <c r="S200"/>
  <c r="T200"/>
  <c r="AK200"/>
  <c r="AG200"/>
  <c r="AH200"/>
  <c r="N201"/>
  <c r="AJ201"/>
  <c r="S201"/>
  <c r="T201"/>
  <c r="AG201"/>
  <c r="AH201"/>
  <c r="AL201"/>
  <c r="N202"/>
  <c r="AJ202" s="1"/>
  <c r="S202"/>
  <c r="T202"/>
  <c r="AN202"/>
  <c r="AG202"/>
  <c r="AH202"/>
  <c r="AK202"/>
  <c r="N203"/>
  <c r="AJ203" s="1"/>
  <c r="S203"/>
  <c r="T203"/>
  <c r="AN203"/>
  <c r="AG203"/>
  <c r="AH203"/>
  <c r="N204"/>
  <c r="AJ204"/>
  <c r="S204"/>
  <c r="T204"/>
  <c r="AK204"/>
  <c r="AG204"/>
  <c r="AH204"/>
  <c r="N205"/>
  <c r="AJ205" s="1"/>
  <c r="S205"/>
  <c r="T205"/>
  <c r="AL205"/>
  <c r="AM205"/>
  <c r="AG205"/>
  <c r="AH205"/>
  <c r="N206"/>
  <c r="AJ206" s="1"/>
  <c r="S206"/>
  <c r="T206"/>
  <c r="AK206"/>
  <c r="AN206"/>
  <c r="AG206"/>
  <c r="AH206"/>
  <c r="N207"/>
  <c r="AJ207" s="1"/>
  <c r="S207"/>
  <c r="T207"/>
  <c r="AG207"/>
  <c r="AH207"/>
  <c r="N208"/>
  <c r="AJ208" s="1"/>
  <c r="S208"/>
  <c r="T208"/>
  <c r="AG208"/>
  <c r="AH208"/>
  <c r="N209"/>
  <c r="AJ209" s="1"/>
  <c r="S209"/>
  <c r="T209"/>
  <c r="AL209"/>
  <c r="AN209"/>
  <c r="AG209"/>
  <c r="AH209"/>
  <c r="N210"/>
  <c r="AJ210" s="1"/>
  <c r="S210"/>
  <c r="T210"/>
  <c r="AG210"/>
  <c r="AH210"/>
  <c r="N211"/>
  <c r="AJ211" s="1"/>
  <c r="S211"/>
  <c r="AO211" s="1"/>
  <c r="T211"/>
  <c r="AM211"/>
  <c r="AG211"/>
  <c r="AH211"/>
  <c r="N212"/>
  <c r="AJ212"/>
  <c r="S212"/>
  <c r="T212"/>
  <c r="P69" i="33"/>
  <c r="AG212" i="1"/>
  <c r="AH212"/>
  <c r="N213"/>
  <c r="AJ213" s="1"/>
  <c r="S213"/>
  <c r="T213"/>
  <c r="AN213"/>
  <c r="AG213"/>
  <c r="AH213"/>
  <c r="N214"/>
  <c r="AJ214"/>
  <c r="S214"/>
  <c r="T214"/>
  <c r="AK214"/>
  <c r="AG214"/>
  <c r="AH214"/>
  <c r="N215"/>
  <c r="AJ215" s="1"/>
  <c r="S215"/>
  <c r="T215"/>
  <c r="AG215"/>
  <c r="AH215"/>
  <c r="N216"/>
  <c r="AJ216" s="1"/>
  <c r="S216"/>
  <c r="T216"/>
  <c r="AK216"/>
  <c r="AN216"/>
  <c r="AG216"/>
  <c r="AH216"/>
  <c r="N217"/>
  <c r="S217"/>
  <c r="T217"/>
  <c r="AP217" s="1"/>
  <c r="AM217"/>
  <c r="AG217"/>
  <c r="AH217"/>
  <c r="AJ217"/>
  <c r="N218"/>
  <c r="AJ218"/>
  <c r="S218"/>
  <c r="T218"/>
  <c r="AK218"/>
  <c r="AG218"/>
  <c r="AH218"/>
  <c r="N219"/>
  <c r="AM219"/>
  <c r="AJ219"/>
  <c r="N220"/>
  <c r="AJ220"/>
  <c r="T220"/>
  <c r="AH220"/>
  <c r="N221"/>
  <c r="AJ221"/>
  <c r="AM221"/>
  <c r="N222"/>
  <c r="AJ222" s="1"/>
  <c r="T222"/>
  <c r="AL222"/>
  <c r="AN222"/>
  <c r="AH222"/>
  <c r="N223"/>
  <c r="AJ223" s="1"/>
  <c r="AK223"/>
  <c r="AR223" s="1"/>
  <c r="N224"/>
  <c r="AJ224"/>
  <c r="T224"/>
  <c r="P81" i="33"/>
  <c r="AH224" i="1"/>
  <c r="N225"/>
  <c r="AJ225" s="1"/>
  <c r="T225"/>
  <c r="AH225"/>
  <c r="N226"/>
  <c r="AJ226" s="1"/>
  <c r="T226"/>
  <c r="AL226"/>
  <c r="AR226" s="1"/>
  <c r="AN226"/>
  <c r="AH226"/>
  <c r="N227"/>
  <c r="AJ227" s="1"/>
  <c r="T227"/>
  <c r="AP227" s="1"/>
  <c r="AH227"/>
  <c r="N228"/>
  <c r="AJ228" s="1"/>
  <c r="AL228"/>
  <c r="AR228" s="1"/>
  <c r="AN228"/>
  <c r="AH228"/>
  <c r="N229"/>
  <c r="AJ229"/>
  <c r="AN229"/>
  <c r="N230"/>
  <c r="AJ230" s="1"/>
  <c r="AK230"/>
  <c r="AN230"/>
  <c r="N231"/>
  <c r="AJ231" s="1"/>
  <c r="AN231"/>
  <c r="N232"/>
  <c r="AJ232"/>
  <c r="T232"/>
  <c r="AL232"/>
  <c r="AR232" s="1"/>
  <c r="AH232"/>
  <c r="N233"/>
  <c r="AJ233" s="1"/>
  <c r="T233"/>
  <c r="AH233"/>
  <c r="N234"/>
  <c r="AJ234" s="1"/>
  <c r="T234"/>
  <c r="AL234"/>
  <c r="AR234" s="1"/>
  <c r="AH234"/>
  <c r="N235"/>
  <c r="AJ235"/>
  <c r="T235"/>
  <c r="AN235"/>
  <c r="AH235"/>
  <c r="N236"/>
  <c r="AM236"/>
  <c r="AJ236"/>
  <c r="AK236"/>
  <c r="N237"/>
  <c r="T237"/>
  <c r="AN237"/>
  <c r="AH237"/>
  <c r="AJ237"/>
  <c r="N238"/>
  <c r="AJ238"/>
  <c r="T238"/>
  <c r="AL238"/>
  <c r="AR238" s="1"/>
  <c r="AH238"/>
  <c r="N239"/>
  <c r="AJ239" s="1"/>
  <c r="AM239"/>
  <c r="N240"/>
  <c r="AJ240"/>
  <c r="AN240"/>
  <c r="N241"/>
  <c r="AJ241" s="1"/>
  <c r="T241"/>
  <c r="AH241"/>
  <c r="N242"/>
  <c r="AJ242" s="1"/>
  <c r="T242"/>
  <c r="AL242"/>
  <c r="AN242"/>
  <c r="AH242"/>
  <c r="N243"/>
  <c r="AJ243" s="1"/>
  <c r="T243"/>
  <c r="AM243"/>
  <c r="AN243"/>
  <c r="AH243"/>
  <c r="N244"/>
  <c r="AJ244" s="1"/>
  <c r="T244"/>
  <c r="AL244"/>
  <c r="AN244"/>
  <c r="AS244" s="1"/>
  <c r="AH244"/>
  <c r="N245"/>
  <c r="AJ245" s="1"/>
  <c r="N246"/>
  <c r="AJ246" s="1"/>
  <c r="N247"/>
  <c r="AJ247" s="1"/>
  <c r="AM247"/>
  <c r="AN247"/>
  <c r="N248"/>
  <c r="AJ248" s="1"/>
  <c r="N249"/>
  <c r="AJ249" s="1"/>
  <c r="AM249"/>
  <c r="N250"/>
  <c r="AJ250"/>
  <c r="AN250"/>
  <c r="N251"/>
  <c r="AJ251" s="1"/>
  <c r="T251"/>
  <c r="AN251"/>
  <c r="AH251"/>
  <c r="N252"/>
  <c r="AJ252"/>
  <c r="T252"/>
  <c r="AH252"/>
  <c r="N253"/>
  <c r="AJ253"/>
  <c r="AM253"/>
  <c r="N254"/>
  <c r="AJ254" s="1"/>
  <c r="AK254"/>
  <c r="AR254" s="1"/>
  <c r="AN254"/>
  <c r="N255"/>
  <c r="AM255"/>
  <c r="AJ255"/>
  <c r="N256"/>
  <c r="AJ256" s="1"/>
  <c r="AK256"/>
  <c r="AR256" s="1"/>
  <c r="AN256"/>
  <c r="N257"/>
  <c r="AJ257" s="1"/>
  <c r="T257"/>
  <c r="AM257"/>
  <c r="AH257"/>
  <c r="N258"/>
  <c r="AJ258"/>
  <c r="T258"/>
  <c r="AL258"/>
  <c r="AH258"/>
  <c r="N259"/>
  <c r="AJ259" s="1"/>
  <c r="T259"/>
  <c r="AN259"/>
  <c r="AH259"/>
  <c r="N260"/>
  <c r="AJ260"/>
  <c r="T260"/>
  <c r="AL260"/>
  <c r="AR260" s="1"/>
  <c r="AH260"/>
  <c r="N261"/>
  <c r="AJ261" s="1"/>
  <c r="T261"/>
  <c r="AM261"/>
  <c r="AN261"/>
  <c r="AH261"/>
  <c r="N262"/>
  <c r="AJ262" s="1"/>
  <c r="T262"/>
  <c r="AL262"/>
  <c r="AN262"/>
  <c r="AH262"/>
  <c r="N263"/>
  <c r="AJ263" s="1"/>
  <c r="T263"/>
  <c r="AH263"/>
  <c r="N264"/>
  <c r="AJ264" s="1"/>
  <c r="T264"/>
  <c r="AL264"/>
  <c r="AR264" s="1"/>
  <c r="AN264"/>
  <c r="AH264"/>
  <c r="N265"/>
  <c r="AJ265" s="1"/>
  <c r="T265"/>
  <c r="AM265"/>
  <c r="AH265"/>
  <c r="N266"/>
  <c r="AJ266"/>
  <c r="T266"/>
  <c r="AL266"/>
  <c r="AN266"/>
  <c r="AH266"/>
  <c r="N267"/>
  <c r="AJ267"/>
  <c r="T267"/>
  <c r="AN267"/>
  <c r="AH267"/>
  <c r="AX267" s="1"/>
  <c r="N268"/>
  <c r="AJ268" s="1"/>
  <c r="T268"/>
  <c r="AL268"/>
  <c r="AH268"/>
  <c r="AX268" s="1"/>
  <c r="N269"/>
  <c r="AJ269"/>
  <c r="T269"/>
  <c r="AK269"/>
  <c r="AL269"/>
  <c r="AM269"/>
  <c r="AH269"/>
  <c r="AX269" s="1"/>
  <c r="N270"/>
  <c r="AJ270" s="1"/>
  <c r="T270"/>
  <c r="AK270"/>
  <c r="AH270"/>
  <c r="AX270" s="1"/>
  <c r="N271"/>
  <c r="AJ271"/>
  <c r="S271"/>
  <c r="T271"/>
  <c r="AM271"/>
  <c r="AG271"/>
  <c r="AH271"/>
  <c r="N272"/>
  <c r="AJ272" s="1"/>
  <c r="S272"/>
  <c r="T272"/>
  <c r="AK272"/>
  <c r="AG272"/>
  <c r="AH272"/>
  <c r="N273"/>
  <c r="AJ273"/>
  <c r="S273"/>
  <c r="T273"/>
  <c r="AM273"/>
  <c r="AG273"/>
  <c r="AH273"/>
  <c r="N274"/>
  <c r="AJ274" s="1"/>
  <c r="S274"/>
  <c r="T274"/>
  <c r="AK274"/>
  <c r="AG274"/>
  <c r="AH274"/>
  <c r="K66" i="7" s="1"/>
  <c r="K67" s="1"/>
  <c r="K90" s="1"/>
  <c r="N275" i="1"/>
  <c r="AJ275"/>
  <c r="S275"/>
  <c r="T275"/>
  <c r="AM275"/>
  <c r="AG275"/>
  <c r="AH275"/>
  <c r="N276"/>
  <c r="AJ276" s="1"/>
  <c r="S276"/>
  <c r="T276"/>
  <c r="AK276"/>
  <c r="AN276"/>
  <c r="AG276"/>
  <c r="AH276"/>
  <c r="N277"/>
  <c r="AJ277" s="1"/>
  <c r="S277"/>
  <c r="T277"/>
  <c r="AM277"/>
  <c r="AG277"/>
  <c r="AH277"/>
  <c r="N278"/>
  <c r="AJ278"/>
  <c r="S278"/>
  <c r="T278"/>
  <c r="AK278"/>
  <c r="AN278"/>
  <c r="AG278"/>
  <c r="AH278"/>
  <c r="N279"/>
  <c r="AJ279"/>
  <c r="S279"/>
  <c r="T279"/>
  <c r="AL279"/>
  <c r="AM279"/>
  <c r="AN279"/>
  <c r="AG279"/>
  <c r="AH279"/>
  <c r="N280"/>
  <c r="AJ280" s="1"/>
  <c r="S280"/>
  <c r="T280"/>
  <c r="AK280"/>
  <c r="AG280"/>
  <c r="AH280"/>
  <c r="N281"/>
  <c r="AJ281"/>
  <c r="S281"/>
  <c r="T281"/>
  <c r="AM281"/>
  <c r="AG281"/>
  <c r="AH281"/>
  <c r="AN281"/>
  <c r="N282"/>
  <c r="AJ282"/>
  <c r="S282"/>
  <c r="T282"/>
  <c r="AK282"/>
  <c r="AM282"/>
  <c r="AN282"/>
  <c r="AG282"/>
  <c r="AH282"/>
  <c r="N283"/>
  <c r="AJ283" s="1"/>
  <c r="AM283"/>
  <c r="AN283"/>
  <c r="N284"/>
  <c r="AJ284" s="1"/>
  <c r="T284"/>
  <c r="AH284"/>
  <c r="J86" i="4"/>
  <c r="J86" i="8" s="1"/>
  <c r="AR284" i="1"/>
  <c r="AJ285"/>
  <c r="N286"/>
  <c r="AJ286"/>
  <c r="AK286"/>
  <c r="AR286" s="1"/>
  <c r="AN286"/>
  <c r="N287"/>
  <c r="AJ287"/>
  <c r="AK287"/>
  <c r="AR287" s="1"/>
  <c r="N288"/>
  <c r="AJ288"/>
  <c r="AN288"/>
  <c r="N289"/>
  <c r="AJ289" s="1"/>
  <c r="AK289"/>
  <c r="AM289"/>
  <c r="N290"/>
  <c r="AJ290" s="1"/>
  <c r="AN290"/>
  <c r="N291"/>
  <c r="AJ291"/>
  <c r="AM291"/>
  <c r="AN291"/>
  <c r="N292"/>
  <c r="AJ292"/>
  <c r="AK292"/>
  <c r="AR292" s="1"/>
  <c r="AN292"/>
  <c r="N293"/>
  <c r="AJ293" s="1"/>
  <c r="AK293"/>
  <c r="AR293" s="1"/>
  <c r="AM293"/>
  <c r="AN293"/>
  <c r="N294"/>
  <c r="AN294"/>
  <c r="AJ294"/>
  <c r="N295"/>
  <c r="AJ295" s="1"/>
  <c r="AM295"/>
  <c r="AN295"/>
  <c r="N296"/>
  <c r="AJ296" s="1"/>
  <c r="AN296"/>
  <c r="N297"/>
  <c r="AM297"/>
  <c r="AN297"/>
  <c r="AJ297"/>
  <c r="N298"/>
  <c r="AJ298"/>
  <c r="AN298"/>
  <c r="N299"/>
  <c r="AJ299" s="1"/>
  <c r="AN299"/>
  <c r="N300"/>
  <c r="AJ300"/>
  <c r="AN300"/>
  <c r="N301"/>
  <c r="AJ301" s="1"/>
  <c r="AM301"/>
  <c r="AN301"/>
  <c r="N302"/>
  <c r="AJ302" s="1"/>
  <c r="AM302"/>
  <c r="AN302"/>
  <c r="N303"/>
  <c r="AJ303" s="1"/>
  <c r="AM303"/>
  <c r="AN303"/>
  <c r="N304"/>
  <c r="AJ304" s="1"/>
  <c r="AN304"/>
  <c r="N305"/>
  <c r="AJ305"/>
  <c r="AM305"/>
  <c r="AN305"/>
  <c r="N306"/>
  <c r="AJ306"/>
  <c r="AN306"/>
  <c r="N307"/>
  <c r="AJ307" s="1"/>
  <c r="AN307"/>
  <c r="N308"/>
  <c r="AJ308"/>
  <c r="AM308"/>
  <c r="N309"/>
  <c r="AJ309" s="1"/>
  <c r="AM309"/>
  <c r="AN309"/>
  <c r="N310"/>
  <c r="AM310"/>
  <c r="AJ310"/>
  <c r="AN310"/>
  <c r="N311"/>
  <c r="AJ311" s="1"/>
  <c r="AM311"/>
  <c r="AN311"/>
  <c r="N312"/>
  <c r="AJ312" s="1"/>
  <c r="AN312"/>
  <c r="N313"/>
  <c r="AJ313"/>
  <c r="AM313"/>
  <c r="AN313"/>
  <c r="N314"/>
  <c r="AN314"/>
  <c r="AJ314"/>
  <c r="N315"/>
  <c r="AJ315" s="1"/>
  <c r="AM315"/>
  <c r="AN315"/>
  <c r="N316"/>
  <c r="AJ316" s="1"/>
  <c r="AN316"/>
  <c r="N317"/>
  <c r="AJ317"/>
  <c r="AM317"/>
  <c r="AN317"/>
  <c r="N318"/>
  <c r="AJ318"/>
  <c r="N319"/>
  <c r="AJ319"/>
  <c r="AN319"/>
  <c r="AT319"/>
  <c r="N320"/>
  <c r="AJ320"/>
  <c r="N321"/>
  <c r="AJ321"/>
  <c r="N322"/>
  <c r="S322"/>
  <c r="T322"/>
  <c r="AK322"/>
  <c r="AM322"/>
  <c r="AN322"/>
  <c r="AG322"/>
  <c r="AH322"/>
  <c r="AJ322"/>
  <c r="N323"/>
  <c r="AJ323" s="1"/>
  <c r="AM323"/>
  <c r="AN323"/>
  <c r="N324"/>
  <c r="AJ324" s="1"/>
  <c r="AK324"/>
  <c r="AR324" s="1"/>
  <c r="AN324"/>
  <c r="N325"/>
  <c r="AJ325" s="1"/>
  <c r="AM325"/>
  <c r="AN325"/>
  <c r="N326"/>
  <c r="AJ326" s="1"/>
  <c r="N327"/>
  <c r="AJ327" s="1"/>
  <c r="S327"/>
  <c r="AO327" s="1"/>
  <c r="T327"/>
  <c r="AM327"/>
  <c r="AG327"/>
  <c r="AH327"/>
  <c r="AN327"/>
  <c r="N328"/>
  <c r="AJ328" s="1"/>
  <c r="S328"/>
  <c r="T328"/>
  <c r="AK328"/>
  <c r="AN328"/>
  <c r="AG328"/>
  <c r="AH328"/>
  <c r="N329"/>
  <c r="AJ329" s="1"/>
  <c r="S329"/>
  <c r="T329"/>
  <c r="AL329"/>
  <c r="AM329"/>
  <c r="AN329"/>
  <c r="AG329"/>
  <c r="AH329"/>
  <c r="N330"/>
  <c r="S330"/>
  <c r="T330"/>
  <c r="AK330"/>
  <c r="AM330"/>
  <c r="AN330"/>
  <c r="AG330"/>
  <c r="AH330"/>
  <c r="AJ330"/>
  <c r="N331"/>
  <c r="AJ331" s="1"/>
  <c r="AK331"/>
  <c r="AM331"/>
  <c r="N332"/>
  <c r="AJ332" s="1"/>
  <c r="AN332"/>
  <c r="N333"/>
  <c r="AJ333"/>
  <c r="AN333"/>
  <c r="N334"/>
  <c r="AJ334" s="1"/>
  <c r="N335"/>
  <c r="AJ335" s="1"/>
  <c r="AN335"/>
  <c r="N336"/>
  <c r="AJ336"/>
  <c r="AK336"/>
  <c r="N337"/>
  <c r="AJ337" s="1"/>
  <c r="AL337"/>
  <c r="N338"/>
  <c r="AJ338"/>
  <c r="AK338"/>
  <c r="AR338"/>
  <c r="N339"/>
  <c r="AJ339"/>
  <c r="AM339"/>
  <c r="AN339"/>
  <c r="N340"/>
  <c r="AJ340"/>
  <c r="AK340"/>
  <c r="N341"/>
  <c r="AJ341" s="1"/>
  <c r="AK341"/>
  <c r="AR341" s="1"/>
  <c r="AM341"/>
  <c r="N342"/>
  <c r="AJ342" s="1"/>
  <c r="AN342"/>
  <c r="N343"/>
  <c r="AJ343"/>
  <c r="AM343"/>
  <c r="N344"/>
  <c r="AJ344" s="1"/>
  <c r="S344"/>
  <c r="T344"/>
  <c r="AK344"/>
  <c r="AN344"/>
  <c r="AG344"/>
  <c r="AH344"/>
  <c r="N345"/>
  <c r="AJ345" s="1"/>
  <c r="S345"/>
  <c r="T345"/>
  <c r="AN345"/>
  <c r="AG345"/>
  <c r="AH345"/>
  <c r="N346"/>
  <c r="AJ346"/>
  <c r="AN346"/>
  <c r="N347"/>
  <c r="AJ347" s="1"/>
  <c r="AK347"/>
  <c r="AR347" s="1"/>
  <c r="AM347"/>
  <c r="AN347"/>
  <c r="N348"/>
  <c r="AN348"/>
  <c r="AJ348"/>
  <c r="N349"/>
  <c r="AJ349" s="1"/>
  <c r="AM349"/>
  <c r="AN349"/>
  <c r="N350"/>
  <c r="AJ350" s="1"/>
  <c r="AN350"/>
  <c r="AS350" s="1"/>
  <c r="N351"/>
  <c r="AJ351"/>
  <c r="AM351"/>
  <c r="AN351"/>
  <c r="N352"/>
  <c r="AJ352"/>
  <c r="AN352"/>
  <c r="N353"/>
  <c r="AJ353" s="1"/>
  <c r="AM353"/>
  <c r="AN353"/>
  <c r="N354"/>
  <c r="AJ354" s="1"/>
  <c r="AN354"/>
  <c r="N355"/>
  <c r="AJ355"/>
  <c r="AK355"/>
  <c r="AM355"/>
  <c r="AN355"/>
  <c r="N356"/>
  <c r="AJ356" s="1"/>
  <c r="AN356"/>
  <c r="AS356" s="1"/>
  <c r="N357"/>
  <c r="AJ357"/>
  <c r="AM357"/>
  <c r="AN357"/>
  <c r="AK357"/>
  <c r="N358"/>
  <c r="AJ358" s="1"/>
  <c r="AM358"/>
  <c r="AN358"/>
  <c r="N359"/>
  <c r="AJ359" s="1"/>
  <c r="AN359"/>
  <c r="N360"/>
  <c r="AJ360"/>
  <c r="AN360"/>
  <c r="N361"/>
  <c r="AJ361" s="1"/>
  <c r="AK361"/>
  <c r="AM361"/>
  <c r="AN361"/>
  <c r="N362"/>
  <c r="AJ362"/>
  <c r="AN362"/>
  <c r="N363"/>
  <c r="AJ363" s="1"/>
  <c r="AM363"/>
  <c r="AK363"/>
  <c r="AR363" s="1"/>
  <c r="N364"/>
  <c r="AJ364" s="1"/>
  <c r="T364"/>
  <c r="AL364"/>
  <c r="AH364"/>
  <c r="AN364"/>
  <c r="N365"/>
  <c r="AJ365" s="1"/>
  <c r="T365"/>
  <c r="AM365"/>
  <c r="AH365"/>
  <c r="N366"/>
  <c r="AJ366"/>
  <c r="T366"/>
  <c r="AN366"/>
  <c r="AH366"/>
  <c r="AK366"/>
  <c r="N367"/>
  <c r="AJ367"/>
  <c r="T367"/>
  <c r="AM367"/>
  <c r="AN367"/>
  <c r="AH367"/>
  <c r="N368"/>
  <c r="AJ368"/>
  <c r="AM368"/>
  <c r="AK368"/>
  <c r="AR368" s="1"/>
  <c r="N369"/>
  <c r="AJ369"/>
  <c r="AM369"/>
  <c r="AN369"/>
  <c r="AS369" s="1"/>
  <c r="N370"/>
  <c r="AJ370"/>
  <c r="AK370"/>
  <c r="AR370" s="1"/>
  <c r="N371"/>
  <c r="AJ371" s="1"/>
  <c r="AN371"/>
  <c r="N372"/>
  <c r="AJ372"/>
  <c r="AK372"/>
  <c r="AR372" s="1"/>
  <c r="N373"/>
  <c r="AJ373"/>
  <c r="N374"/>
  <c r="AJ374"/>
  <c r="AK374"/>
  <c r="AM374"/>
  <c r="N375"/>
  <c r="AJ375"/>
  <c r="N376"/>
  <c r="AJ376"/>
  <c r="AK376"/>
  <c r="N377"/>
  <c r="AJ377" s="1"/>
  <c r="AK377"/>
  <c r="AM377"/>
  <c r="N378"/>
  <c r="AJ378" s="1"/>
  <c r="AM378"/>
  <c r="AN378"/>
  <c r="AK378"/>
  <c r="AR378" s="1"/>
  <c r="N379"/>
  <c r="AJ379"/>
  <c r="AM379"/>
  <c r="AN379"/>
  <c r="N380"/>
  <c r="AJ380"/>
  <c r="T380"/>
  <c r="AH380"/>
  <c r="N381"/>
  <c r="AJ381"/>
  <c r="T381"/>
  <c r="AM381"/>
  <c r="AN381"/>
  <c r="AH381"/>
  <c r="N382"/>
  <c r="AJ382"/>
  <c r="T382"/>
  <c r="AN382"/>
  <c r="AH382"/>
  <c r="AJ383"/>
  <c r="N384"/>
  <c r="AJ384"/>
  <c r="S384"/>
  <c r="T384"/>
  <c r="AP384" s="1"/>
  <c r="AR384"/>
  <c r="AG384"/>
  <c r="AH384"/>
  <c r="N385"/>
  <c r="AJ385" s="1"/>
  <c r="S385"/>
  <c r="T385"/>
  <c r="AN385"/>
  <c r="AG385"/>
  <c r="AH385"/>
  <c r="N386"/>
  <c r="AJ386"/>
  <c r="S386"/>
  <c r="T386"/>
  <c r="AG386"/>
  <c r="AH386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N393"/>
  <c r="AG393"/>
  <c r="AH393"/>
  <c r="N394"/>
  <c r="AJ394" s="1"/>
  <c r="S394"/>
  <c r="T394"/>
  <c r="AG394"/>
  <c r="AH394"/>
  <c r="N395"/>
  <c r="AJ395" s="1"/>
  <c r="S395"/>
  <c r="T395"/>
  <c r="AM395"/>
  <c r="AS395" s="1"/>
  <c r="AG395"/>
  <c r="AH395"/>
  <c r="N396"/>
  <c r="AJ396"/>
  <c r="S396"/>
  <c r="T396"/>
  <c r="AG396"/>
  <c r="AH396"/>
  <c r="N397"/>
  <c r="AJ397"/>
  <c r="S397"/>
  <c r="T397"/>
  <c r="AM397"/>
  <c r="AG397"/>
  <c r="AH397"/>
  <c r="N398"/>
  <c r="AJ398" s="1"/>
  <c r="S398"/>
  <c r="T398"/>
  <c r="AR398"/>
  <c r="AN398"/>
  <c r="AG398"/>
  <c r="AH398"/>
  <c r="N399"/>
  <c r="AJ399" s="1"/>
  <c r="S399"/>
  <c r="T399"/>
  <c r="AG399"/>
  <c r="AH399"/>
  <c r="N400"/>
  <c r="AJ400" s="1"/>
  <c r="S400"/>
  <c r="T400"/>
  <c r="AR400"/>
  <c r="AG400"/>
  <c r="AH400"/>
  <c r="N401"/>
  <c r="AJ401"/>
  <c r="S40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 s="1"/>
  <c r="S412"/>
  <c r="AO412" s="1"/>
  <c r="T412"/>
  <c r="AN412"/>
  <c r="AG412"/>
  <c r="AH412"/>
  <c r="N413"/>
  <c r="AJ413"/>
  <c r="S413"/>
  <c r="T413"/>
  <c r="AN413"/>
  <c r="AG413"/>
  <c r="AH413"/>
  <c r="N414"/>
  <c r="AJ414" s="1"/>
  <c r="S414"/>
  <c r="T414"/>
  <c r="AG414"/>
  <c r="AH414"/>
  <c r="N415"/>
  <c r="AN415"/>
  <c r="AJ415"/>
  <c r="N416"/>
  <c r="AJ416"/>
  <c r="T416"/>
  <c r="AH416"/>
  <c r="N417"/>
  <c r="AJ417"/>
  <c r="S417"/>
  <c r="T417"/>
  <c r="AM417"/>
  <c r="AG417"/>
  <c r="AH417"/>
  <c r="N418"/>
  <c r="AJ418" s="1"/>
  <c r="S418"/>
  <c r="AO418" s="1"/>
  <c r="T418"/>
  <c r="AN418"/>
  <c r="AG418"/>
  <c r="AH418"/>
  <c r="N419"/>
  <c r="AJ419"/>
  <c r="S419"/>
  <c r="T419"/>
  <c r="AG419"/>
  <c r="AH419"/>
  <c r="N420"/>
  <c r="AJ420"/>
  <c r="S420"/>
  <c r="T420"/>
  <c r="AP420" s="1"/>
  <c r="AN420"/>
  <c r="AG420"/>
  <c r="AH420"/>
  <c r="N421"/>
  <c r="AJ421" s="1"/>
  <c r="S421"/>
  <c r="T421"/>
  <c r="AN421"/>
  <c r="AG421"/>
  <c r="AH421"/>
  <c r="N422"/>
  <c r="AJ422"/>
  <c r="S422"/>
  <c r="T422"/>
  <c r="AG422"/>
  <c r="AH422"/>
  <c r="N423"/>
  <c r="AJ423"/>
  <c r="S423"/>
  <c r="T423"/>
  <c r="AP423" s="1"/>
  <c r="AN423"/>
  <c r="AG423"/>
  <c r="AH423"/>
  <c r="N424"/>
  <c r="AJ424" s="1"/>
  <c r="S424"/>
  <c r="T424"/>
  <c r="AG424"/>
  <c r="AH424"/>
  <c r="N425"/>
  <c r="AJ425" s="1"/>
  <c r="S425"/>
  <c r="AO425" s="1"/>
  <c r="T425"/>
  <c r="AM425"/>
  <c r="AG425"/>
  <c r="AH425"/>
  <c r="N426"/>
  <c r="AJ426"/>
  <c r="S426"/>
  <c r="T426"/>
  <c r="AN426"/>
  <c r="AG426"/>
  <c r="AH426"/>
  <c r="N427"/>
  <c r="AJ427" s="1"/>
  <c r="S427"/>
  <c r="AO427" s="1"/>
  <c r="T427"/>
  <c r="AM427"/>
  <c r="AG427"/>
  <c r="AH427"/>
  <c r="N428"/>
  <c r="AJ428"/>
  <c r="S428"/>
  <c r="T428"/>
  <c r="AP428" s="1"/>
  <c r="AN428"/>
  <c r="AG428"/>
  <c r="AH428"/>
  <c r="N429"/>
  <c r="AJ429" s="1"/>
  <c r="S429"/>
  <c r="T429"/>
  <c r="AN429"/>
  <c r="AG429"/>
  <c r="AH429"/>
  <c r="N430"/>
  <c r="AJ430"/>
  <c r="S430"/>
  <c r="T430"/>
  <c r="AG430"/>
  <c r="AH430"/>
  <c r="N431"/>
  <c r="AJ431"/>
  <c r="S431"/>
  <c r="T431"/>
  <c r="AP431" s="1"/>
  <c r="AN431"/>
  <c r="AG431"/>
  <c r="AH431"/>
  <c r="N432"/>
  <c r="AJ432" s="1"/>
  <c r="S432"/>
  <c r="T432"/>
  <c r="AG432"/>
  <c r="AH432"/>
  <c r="N433"/>
  <c r="AJ433" s="1"/>
  <c r="S433"/>
  <c r="T433"/>
  <c r="AG433"/>
  <c r="AH433"/>
  <c r="N434"/>
  <c r="AJ434" s="1"/>
  <c r="S434"/>
  <c r="T434"/>
  <c r="AG434"/>
  <c r="AH434"/>
  <c r="AN434"/>
  <c r="N435"/>
  <c r="AJ435"/>
  <c r="S435"/>
  <c r="T435"/>
  <c r="AM435"/>
  <c r="AG435"/>
  <c r="AH435"/>
  <c r="N436"/>
  <c r="AJ436" s="1"/>
  <c r="S436"/>
  <c r="AO436" s="1"/>
  <c r="T436"/>
  <c r="AN436"/>
  <c r="AG436"/>
  <c r="AH436"/>
  <c r="N437"/>
  <c r="AJ437"/>
  <c r="S437"/>
  <c r="T437"/>
  <c r="AP437" s="1"/>
  <c r="AN437"/>
  <c r="AG437"/>
  <c r="AX437" s="1"/>
  <c r="AH437"/>
  <c r="N438"/>
  <c r="AJ438" s="1"/>
  <c r="S438"/>
  <c r="T438"/>
  <c r="AG438"/>
  <c r="AX438" s="1"/>
  <c r="AH438"/>
  <c r="N439"/>
  <c r="AJ439" s="1"/>
  <c r="S439"/>
  <c r="T439"/>
  <c r="AN439"/>
  <c r="AG439"/>
  <c r="AH439"/>
  <c r="N440"/>
  <c r="AJ440"/>
  <c r="S440"/>
  <c r="T440"/>
  <c r="AG440"/>
  <c r="AH440"/>
  <c r="N441"/>
  <c r="AJ441"/>
  <c r="S441"/>
  <c r="T441"/>
  <c r="AM441"/>
  <c r="AG441"/>
  <c r="AX441" s="1"/>
  <c r="AH441"/>
  <c r="N442"/>
  <c r="AJ442" s="1"/>
  <c r="S442"/>
  <c r="T442"/>
  <c r="AN442"/>
  <c r="AG442"/>
  <c r="AH442"/>
  <c r="N443"/>
  <c r="AJ443"/>
  <c r="S443"/>
  <c r="T443"/>
  <c r="AM443"/>
  <c r="AG443"/>
  <c r="AH443"/>
  <c r="N444"/>
  <c r="S444"/>
  <c r="T444"/>
  <c r="AN444"/>
  <c r="AG444"/>
  <c r="AH444"/>
  <c r="AJ444"/>
  <c r="N445"/>
  <c r="AJ445"/>
  <c r="S445"/>
  <c r="T445"/>
  <c r="AG445"/>
  <c r="AH445"/>
  <c r="N446"/>
  <c r="AJ446"/>
  <c r="S446"/>
  <c r="T446"/>
  <c r="AN446"/>
  <c r="AG446"/>
  <c r="AH446"/>
  <c r="N447"/>
  <c r="AJ447" s="1"/>
  <c r="S447"/>
  <c r="AO447" s="1"/>
  <c r="T447"/>
  <c r="AM447"/>
  <c r="AG447"/>
  <c r="AH447"/>
  <c r="N448"/>
  <c r="AJ448"/>
  <c r="S448"/>
  <c r="T448"/>
  <c r="AN448"/>
  <c r="AG448"/>
  <c r="AH448"/>
  <c r="N449"/>
  <c r="AJ449" s="1"/>
  <c r="S449"/>
  <c r="T449"/>
  <c r="AG449"/>
  <c r="AH449"/>
  <c r="N450"/>
  <c r="AJ450" s="1"/>
  <c r="S450"/>
  <c r="T450"/>
  <c r="AG450"/>
  <c r="AH450"/>
  <c r="N451"/>
  <c r="AJ451" s="1"/>
  <c r="S451"/>
  <c r="T451"/>
  <c r="AG451"/>
  <c r="AH451"/>
  <c r="N452"/>
  <c r="AJ452" s="1"/>
  <c r="S452"/>
  <c r="T452"/>
  <c r="AG452"/>
  <c r="AH452"/>
  <c r="N453"/>
  <c r="AJ453" s="1"/>
  <c r="S453"/>
  <c r="T453"/>
  <c r="AM453"/>
  <c r="AS453" s="1"/>
  <c r="AG453"/>
  <c r="AH453"/>
  <c r="N454"/>
  <c r="AJ454"/>
  <c r="S454"/>
  <c r="T454"/>
  <c r="AN454"/>
  <c r="AG454"/>
  <c r="AH454"/>
  <c r="N455"/>
  <c r="AJ455" s="1"/>
  <c r="S455"/>
  <c r="AO455" s="1"/>
  <c r="T455"/>
  <c r="AM455"/>
  <c r="AG455"/>
  <c r="AH455"/>
  <c r="N456"/>
  <c r="AJ456"/>
  <c r="S456"/>
  <c r="T456"/>
  <c r="AN456"/>
  <c r="AG456"/>
  <c r="AH456"/>
  <c r="N457"/>
  <c r="AJ457" s="1"/>
  <c r="S457"/>
  <c r="AO457" s="1"/>
  <c r="T457"/>
  <c r="AN457"/>
  <c r="AG457"/>
  <c r="AH457"/>
  <c r="N458"/>
  <c r="AJ458"/>
  <c r="S458"/>
  <c r="T458"/>
  <c r="AG458"/>
  <c r="AH458"/>
  <c r="N459"/>
  <c r="AJ459"/>
  <c r="S459"/>
  <c r="T459"/>
  <c r="AN459"/>
  <c r="AG459"/>
  <c r="AH459"/>
  <c r="N460"/>
  <c r="AJ460" s="1"/>
  <c r="S460"/>
  <c r="T460"/>
  <c r="AG460"/>
  <c r="AH460"/>
  <c r="N461"/>
  <c r="AJ461" s="1"/>
  <c r="S461"/>
  <c r="T461"/>
  <c r="AM461"/>
  <c r="AG461"/>
  <c r="AH461"/>
  <c r="N462"/>
  <c r="AJ462"/>
  <c r="S462"/>
  <c r="T462"/>
  <c r="AN462"/>
  <c r="AG462"/>
  <c r="AH462"/>
  <c r="N463"/>
  <c r="AJ463" s="1"/>
  <c r="S463"/>
  <c r="T463"/>
  <c r="AG463"/>
  <c r="AH463"/>
  <c r="N464"/>
  <c r="AJ464" s="1"/>
  <c r="S464"/>
  <c r="T464"/>
  <c r="AN464"/>
  <c r="AG464"/>
  <c r="AH464"/>
  <c r="N465"/>
  <c r="AJ465"/>
  <c r="S465"/>
  <c r="T465"/>
  <c r="AM465"/>
  <c r="AG465"/>
  <c r="AH465"/>
  <c r="N466"/>
  <c r="AJ466" s="1"/>
  <c r="S466"/>
  <c r="T466"/>
  <c r="AG466"/>
  <c r="AH466"/>
  <c r="N467"/>
  <c r="AJ467" s="1"/>
  <c r="S467"/>
  <c r="T467"/>
  <c r="AM467"/>
  <c r="AG467"/>
  <c r="AH467"/>
  <c r="N468"/>
  <c r="AJ468"/>
  <c r="S468"/>
  <c r="T468"/>
  <c r="AN468"/>
  <c r="AG468"/>
  <c r="AH468"/>
  <c r="N469"/>
  <c r="AJ469" s="1"/>
  <c r="S469"/>
  <c r="AO469" s="1"/>
  <c r="T469"/>
  <c r="AN469"/>
  <c r="AG469"/>
  <c r="AH469"/>
  <c r="N470"/>
  <c r="AJ470"/>
  <c r="S470"/>
  <c r="T470"/>
  <c r="AG470"/>
  <c r="AH470"/>
  <c r="N471"/>
  <c r="AJ471"/>
  <c r="S471"/>
  <c r="T471"/>
  <c r="AN471"/>
  <c r="AG471"/>
  <c r="AH471"/>
  <c r="N472"/>
  <c r="AJ472" s="1"/>
  <c r="S472"/>
  <c r="T472"/>
  <c r="AG472"/>
  <c r="AH472"/>
  <c r="N473"/>
  <c r="AJ473" s="1"/>
  <c r="S473"/>
  <c r="T473"/>
  <c r="AM473"/>
  <c r="AG473"/>
  <c r="AH473"/>
  <c r="N474"/>
  <c r="AJ474"/>
  <c r="S474"/>
  <c r="T474"/>
  <c r="AN474"/>
  <c r="AG474"/>
  <c r="AH474"/>
  <c r="N475"/>
  <c r="AJ475" s="1"/>
  <c r="S475"/>
  <c r="T475"/>
  <c r="AG475"/>
  <c r="AH475"/>
  <c r="N476"/>
  <c r="AJ476" s="1"/>
  <c r="S476"/>
  <c r="T476"/>
  <c r="AG476"/>
  <c r="AH476"/>
  <c r="N477"/>
  <c r="AJ477" s="1"/>
  <c r="S477"/>
  <c r="T477"/>
  <c r="AM477"/>
  <c r="AG477"/>
  <c r="AH477"/>
  <c r="N478"/>
  <c r="AJ478"/>
  <c r="S478"/>
  <c r="T478"/>
  <c r="AG478"/>
  <c r="AH478"/>
  <c r="N479"/>
  <c r="AJ479"/>
  <c r="S479"/>
  <c r="T479"/>
  <c r="AM479"/>
  <c r="AG479"/>
  <c r="AH479"/>
  <c r="N480"/>
  <c r="AJ480" s="1"/>
  <c r="S480"/>
  <c r="AO480" s="1"/>
  <c r="T480"/>
  <c r="AN480"/>
  <c r="AG480"/>
  <c r="AH480"/>
  <c r="N481"/>
  <c r="AJ481"/>
  <c r="S481"/>
  <c r="T481"/>
  <c r="AN481"/>
  <c r="AG481"/>
  <c r="AH481"/>
  <c r="N482"/>
  <c r="AJ482" s="1"/>
  <c r="S482"/>
  <c r="T482"/>
  <c r="AG482"/>
  <c r="AH482"/>
  <c r="N483"/>
  <c r="AJ483" s="1"/>
  <c r="S483"/>
  <c r="T483"/>
  <c r="AN483"/>
  <c r="AG483"/>
  <c r="AH483"/>
  <c r="N484"/>
  <c r="AJ484"/>
  <c r="S484"/>
  <c r="T484"/>
  <c r="AG484"/>
  <c r="AH484"/>
  <c r="N485"/>
  <c r="AJ485"/>
  <c r="S485"/>
  <c r="T485"/>
  <c r="AP485" s="1"/>
  <c r="AM485"/>
  <c r="AG485"/>
  <c r="AH485"/>
  <c r="N486"/>
  <c r="AJ486" s="1"/>
  <c r="S486"/>
  <c r="T486"/>
  <c r="AN486"/>
  <c r="AG486"/>
  <c r="AH486"/>
  <c r="N487"/>
  <c r="AJ487"/>
  <c r="S487"/>
  <c r="T487"/>
  <c r="AG487"/>
  <c r="AH487"/>
  <c r="N488"/>
  <c r="AJ488"/>
  <c r="S488"/>
  <c r="T488"/>
  <c r="AN488"/>
  <c r="AG488"/>
  <c r="AH488"/>
  <c r="N489"/>
  <c r="AJ489" s="1"/>
  <c r="S489"/>
  <c r="T489"/>
  <c r="AN489"/>
  <c r="AG489"/>
  <c r="AH489"/>
  <c r="N490"/>
  <c r="AJ490"/>
  <c r="S490"/>
  <c r="T490"/>
  <c r="AG490"/>
  <c r="AH490"/>
  <c r="N491"/>
  <c r="AJ491"/>
  <c r="S491"/>
  <c r="T491"/>
  <c r="AP491" s="1"/>
  <c r="AN491"/>
  <c r="AG491"/>
  <c r="AH491"/>
  <c r="N492"/>
  <c r="AJ492" s="1"/>
  <c r="S492"/>
  <c r="T492"/>
  <c r="AG492"/>
  <c r="AH492"/>
  <c r="N493"/>
  <c r="AJ493" s="1"/>
  <c r="S493"/>
  <c r="T493"/>
  <c r="AG493"/>
  <c r="AH493"/>
  <c r="N494"/>
  <c r="AJ494" s="1"/>
  <c r="S494"/>
  <c r="T494"/>
  <c r="AN494"/>
  <c r="AG494"/>
  <c r="AH494"/>
  <c r="N495"/>
  <c r="AJ495"/>
  <c r="S495"/>
  <c r="T495"/>
  <c r="AG495"/>
  <c r="AH495"/>
  <c r="N496"/>
  <c r="AJ496"/>
  <c r="S496"/>
  <c r="T496"/>
  <c r="AG496"/>
  <c r="AH496"/>
  <c r="N497"/>
  <c r="AJ497"/>
  <c r="S497"/>
  <c r="T497"/>
  <c r="AN497"/>
  <c r="AG497"/>
  <c r="AH497"/>
  <c r="N498"/>
  <c r="AJ498" s="1"/>
  <c r="S498"/>
  <c r="T498"/>
  <c r="AG498"/>
  <c r="AH498"/>
  <c r="N499"/>
  <c r="AJ499" s="1"/>
  <c r="S499"/>
  <c r="T499"/>
  <c r="AG499"/>
  <c r="AH499"/>
  <c r="N500"/>
  <c r="AJ500" s="1"/>
  <c r="S500"/>
  <c r="T500"/>
  <c r="AG500"/>
  <c r="AH500"/>
  <c r="N501"/>
  <c r="AJ501" s="1"/>
  <c r="S501"/>
  <c r="T501"/>
  <c r="AM501"/>
  <c r="AG501"/>
  <c r="AH501"/>
  <c r="N502"/>
  <c r="AJ502"/>
  <c r="S502"/>
  <c r="T502"/>
  <c r="AN502"/>
  <c r="AG502"/>
  <c r="AH502"/>
  <c r="N503"/>
  <c r="AJ503" s="1"/>
  <c r="S503"/>
  <c r="T503"/>
  <c r="AM503"/>
  <c r="AG503"/>
  <c r="AH503"/>
  <c r="N504"/>
  <c r="AJ504"/>
  <c r="S504"/>
  <c r="T504"/>
  <c r="AP504" s="1"/>
  <c r="AN504"/>
  <c r="AG504"/>
  <c r="AH504"/>
  <c r="N505"/>
  <c r="AJ505" s="1"/>
  <c r="S505"/>
  <c r="T505"/>
  <c r="AN505"/>
  <c r="AG505"/>
  <c r="AH505"/>
  <c r="N506"/>
  <c r="AJ506"/>
  <c r="S506"/>
  <c r="T506"/>
  <c r="AG506"/>
  <c r="AH506"/>
  <c r="N507"/>
  <c r="AJ507"/>
  <c r="S507"/>
  <c r="T507"/>
  <c r="AN507"/>
  <c r="AG507"/>
  <c r="AH507"/>
  <c r="N508"/>
  <c r="AJ508" s="1"/>
  <c r="S508"/>
  <c r="T508"/>
  <c r="AG508"/>
  <c r="AH508"/>
  <c r="N509"/>
  <c r="AJ509" s="1"/>
  <c r="S509"/>
  <c r="T509"/>
  <c r="AM509"/>
  <c r="AG509"/>
  <c r="AH509"/>
  <c r="N510"/>
  <c r="AJ510"/>
  <c r="S510"/>
  <c r="T510"/>
  <c r="AN510"/>
  <c r="AG510"/>
  <c r="AH510"/>
  <c r="N511"/>
  <c r="AJ511" s="1"/>
  <c r="S511"/>
  <c r="T511"/>
  <c r="AM511"/>
  <c r="AG511"/>
  <c r="AH511"/>
  <c r="N512"/>
  <c r="AJ512"/>
  <c r="S512"/>
  <c r="T512"/>
  <c r="AR512"/>
  <c r="AG512"/>
  <c r="AH512"/>
  <c r="N513"/>
  <c r="AJ513" s="1"/>
  <c r="S513"/>
  <c r="T513"/>
  <c r="AG513"/>
  <c r="AH513"/>
  <c r="N514"/>
  <c r="AJ514" s="1"/>
  <c r="S514"/>
  <c r="T514"/>
  <c r="AG514"/>
  <c r="AH514"/>
  <c r="N515"/>
  <c r="AJ515" s="1"/>
  <c r="S515"/>
  <c r="T515"/>
  <c r="AG515"/>
  <c r="AH515"/>
  <c r="N516"/>
  <c r="AJ516" s="1"/>
  <c r="S516"/>
  <c r="T516"/>
  <c r="AG516"/>
  <c r="AH516"/>
  <c r="N517"/>
  <c r="AJ517" s="1"/>
  <c r="S517"/>
  <c r="AO517" s="1"/>
  <c r="T517"/>
  <c r="AM517"/>
  <c r="AG517"/>
  <c r="AH517"/>
  <c r="N518"/>
  <c r="AJ518"/>
  <c r="S518"/>
  <c r="T518"/>
  <c r="AN518"/>
  <c r="AG518"/>
  <c r="AH518"/>
  <c r="N519"/>
  <c r="AJ519" s="1"/>
  <c r="S519"/>
  <c r="T519"/>
  <c r="AM519"/>
  <c r="AG519"/>
  <c r="AH519"/>
  <c r="N520"/>
  <c r="AJ520"/>
  <c r="S520"/>
  <c r="T520"/>
  <c r="AG520"/>
  <c r="AH520"/>
  <c r="N521"/>
  <c r="AJ521"/>
  <c r="S521"/>
  <c r="T521"/>
  <c r="AN521"/>
  <c r="AG521"/>
  <c r="AH521"/>
  <c r="N522"/>
  <c r="AJ522" s="1"/>
  <c r="S522"/>
  <c r="T522"/>
  <c r="AG522"/>
  <c r="AH522"/>
  <c r="N523"/>
  <c r="AJ523" s="1"/>
  <c r="S523"/>
  <c r="T523"/>
  <c r="AN523"/>
  <c r="AG523"/>
  <c r="AH523"/>
  <c r="N524"/>
  <c r="AJ524"/>
  <c r="S524"/>
  <c r="T524"/>
  <c r="AG524"/>
  <c r="AH524"/>
  <c r="N525"/>
  <c r="AJ525"/>
  <c r="S525"/>
  <c r="T525"/>
  <c r="AM525"/>
  <c r="AG525"/>
  <c r="AH525"/>
  <c r="N526"/>
  <c r="AJ526" s="1"/>
  <c r="S526"/>
  <c r="T526"/>
  <c r="AN526"/>
  <c r="AG526"/>
  <c r="AH526"/>
  <c r="N527"/>
  <c r="AJ527"/>
  <c r="S527"/>
  <c r="T527"/>
  <c r="AG527"/>
  <c r="AH527"/>
  <c r="N528"/>
  <c r="AJ528"/>
  <c r="S528"/>
  <c r="T528"/>
  <c r="AP528" s="1"/>
  <c r="AN528"/>
  <c r="AG528"/>
  <c r="AH528"/>
  <c r="N529"/>
  <c r="AJ529" s="1"/>
  <c r="S529"/>
  <c r="T529"/>
  <c r="AN529"/>
  <c r="AG529"/>
  <c r="AH529"/>
  <c r="N530"/>
  <c r="AJ530"/>
  <c r="S530"/>
  <c r="T530"/>
  <c r="AG530"/>
  <c r="AH530"/>
  <c r="N531"/>
  <c r="AJ531"/>
  <c r="S531"/>
  <c r="T531"/>
  <c r="AG531"/>
  <c r="AH531"/>
  <c r="N532"/>
  <c r="AJ532"/>
  <c r="S532"/>
  <c r="T532"/>
  <c r="AG532"/>
  <c r="AH532"/>
  <c r="N533"/>
  <c r="AJ533"/>
  <c r="S533"/>
  <c r="T533"/>
  <c r="AM533"/>
  <c r="AG533"/>
  <c r="AH533"/>
  <c r="N534"/>
  <c r="AJ534" s="1"/>
  <c r="S534"/>
  <c r="T534"/>
  <c r="AN534"/>
  <c r="AG534"/>
  <c r="AH534"/>
  <c r="N535"/>
  <c r="AJ535"/>
  <c r="S535"/>
  <c r="T535"/>
  <c r="AM535"/>
  <c r="AG535"/>
  <c r="AH535"/>
  <c r="N536"/>
  <c r="AJ536" s="1"/>
  <c r="S536"/>
  <c r="T536"/>
  <c r="AN536"/>
  <c r="AG536"/>
  <c r="AH536"/>
  <c r="N537"/>
  <c r="AJ537"/>
  <c r="S537"/>
  <c r="T537"/>
  <c r="AN537"/>
  <c r="AG537"/>
  <c r="AH537"/>
  <c r="N538"/>
  <c r="AJ538" s="1"/>
  <c r="S538"/>
  <c r="T538"/>
  <c r="AG538"/>
  <c r="AH538"/>
  <c r="N539"/>
  <c r="AJ539" s="1"/>
  <c r="S539"/>
  <c r="T539"/>
  <c r="AN539"/>
  <c r="AG539"/>
  <c r="AH539"/>
  <c r="N540"/>
  <c r="AJ540"/>
  <c r="S540"/>
  <c r="T540"/>
  <c r="AG540"/>
  <c r="AH540"/>
  <c r="N541"/>
  <c r="AJ541"/>
  <c r="S541"/>
  <c r="T541"/>
  <c r="AM541"/>
  <c r="AG541"/>
  <c r="AH541"/>
  <c r="N542"/>
  <c r="AJ542" s="1"/>
  <c r="S542"/>
  <c r="T542"/>
  <c r="AN542"/>
  <c r="AG542"/>
  <c r="AH542"/>
  <c r="N543"/>
  <c r="AJ543"/>
  <c r="S543"/>
  <c r="T543"/>
  <c r="AM543"/>
  <c r="AG543"/>
  <c r="AH543"/>
  <c r="N544"/>
  <c r="AJ544" s="1"/>
  <c r="S544"/>
  <c r="T544"/>
  <c r="AG544"/>
  <c r="AH544"/>
  <c r="N545"/>
  <c r="AJ545" s="1"/>
  <c r="S545"/>
  <c r="T545"/>
  <c r="AG545"/>
  <c r="AH545"/>
  <c r="N546"/>
  <c r="AJ546" s="1"/>
  <c r="S546"/>
  <c r="T546"/>
  <c r="AR546"/>
  <c r="AG546"/>
  <c r="AH546"/>
  <c r="N547"/>
  <c r="AJ547"/>
  <c r="S547"/>
  <c r="T547"/>
  <c r="AN547"/>
  <c r="AG547"/>
  <c r="AH547"/>
  <c r="N548"/>
  <c r="AJ548" s="1"/>
  <c r="S548"/>
  <c r="T548"/>
  <c r="AG548"/>
  <c r="AH548"/>
  <c r="N549"/>
  <c r="AJ549" s="1"/>
  <c r="S549"/>
  <c r="T549"/>
  <c r="AM549"/>
  <c r="AG549"/>
  <c r="AH549"/>
  <c r="N550"/>
  <c r="AJ550"/>
  <c r="S550"/>
  <c r="T550"/>
  <c r="AN550"/>
  <c r="AG550"/>
  <c r="AH550"/>
  <c r="A551"/>
  <c r="N551" s="1"/>
  <c r="AJ551" s="1"/>
  <c r="S551"/>
  <c r="T551"/>
  <c r="AN551"/>
  <c r="AG551"/>
  <c r="AH551"/>
  <c r="S552"/>
  <c r="T552"/>
  <c r="AN552"/>
  <c r="AG552"/>
  <c r="AH552"/>
  <c r="S553"/>
  <c r="T553"/>
  <c r="AN553"/>
  <c r="AG553"/>
  <c r="AH553"/>
  <c r="N554"/>
  <c r="AJ554" s="1"/>
  <c r="S554"/>
  <c r="T554"/>
  <c r="AN554"/>
  <c r="AG554"/>
  <c r="AH554"/>
  <c r="N555"/>
  <c r="AJ555"/>
  <c r="S555"/>
  <c r="T555"/>
  <c r="AM555"/>
  <c r="AG555"/>
  <c r="AH555"/>
  <c r="N556"/>
  <c r="AJ556" s="1"/>
  <c r="S556"/>
  <c r="T556"/>
  <c r="AN556"/>
  <c r="AG556"/>
  <c r="AH556"/>
  <c r="A557"/>
  <c r="N557"/>
  <c r="AJ557" s="1"/>
  <c r="S557"/>
  <c r="T557"/>
  <c r="AG557"/>
  <c r="AH557"/>
  <c r="S558"/>
  <c r="T558"/>
  <c r="AN558"/>
  <c r="AG558"/>
  <c r="AH558"/>
  <c r="S559"/>
  <c r="T559"/>
  <c r="AN559"/>
  <c r="AG559"/>
  <c r="AH559"/>
  <c r="N560"/>
  <c r="AJ560" s="1"/>
  <c r="S560"/>
  <c r="T560"/>
  <c r="AG560"/>
  <c r="AH560"/>
  <c r="N561"/>
  <c r="AJ561" s="1"/>
  <c r="S561"/>
  <c r="T561"/>
  <c r="AG561"/>
  <c r="AH561"/>
  <c r="AM561"/>
  <c r="A562"/>
  <c r="A563"/>
  <c r="S562"/>
  <c r="T562"/>
  <c r="AP562" s="1"/>
  <c r="AG562"/>
  <c r="AH562"/>
  <c r="S563"/>
  <c r="T563"/>
  <c r="AM563"/>
  <c r="AG563"/>
  <c r="AH563"/>
  <c r="S564"/>
  <c r="T564"/>
  <c r="AG564"/>
  <c r="AH564"/>
  <c r="N565"/>
  <c r="AJ565" s="1"/>
  <c r="S565"/>
  <c r="T565"/>
  <c r="AN565"/>
  <c r="AG565"/>
  <c r="AH565"/>
  <c r="N566"/>
  <c r="AJ566"/>
  <c r="T566"/>
  <c r="AN566"/>
  <c r="N567"/>
  <c r="AJ567"/>
  <c r="T567"/>
  <c r="AM567"/>
  <c r="AN567"/>
  <c r="N568"/>
  <c r="AJ568" s="1"/>
  <c r="T568"/>
  <c r="AN568"/>
  <c r="N569"/>
  <c r="AJ569" s="1"/>
  <c r="AM569"/>
  <c r="AN569"/>
  <c r="N570"/>
  <c r="AJ570" s="1"/>
  <c r="AN570"/>
  <c r="N571"/>
  <c r="AJ571"/>
  <c r="T571"/>
  <c r="AN571"/>
  <c r="N572"/>
  <c r="AJ572"/>
  <c r="N573"/>
  <c r="AJ573"/>
  <c r="AM573"/>
  <c r="N574"/>
  <c r="AJ574" s="1"/>
  <c r="AN574"/>
  <c r="N575"/>
  <c r="AJ575"/>
  <c r="N576"/>
  <c r="AJ576"/>
  <c r="T576"/>
  <c r="AH576"/>
  <c r="N577"/>
  <c r="AJ577"/>
  <c r="T577"/>
  <c r="AM577"/>
  <c r="AH577"/>
  <c r="N578"/>
  <c r="AJ578" s="1"/>
  <c r="T578"/>
  <c r="AN578"/>
  <c r="AH578"/>
  <c r="N579"/>
  <c r="AJ579"/>
  <c r="AM579"/>
  <c r="N580"/>
  <c r="AN580"/>
  <c r="AJ580"/>
  <c r="N581"/>
  <c r="AJ581"/>
  <c r="AN581"/>
  <c r="N582"/>
  <c r="AJ582" s="1"/>
  <c r="N583"/>
  <c r="AJ583" s="1"/>
  <c r="AN583"/>
  <c r="N584"/>
  <c r="AJ584"/>
  <c r="N585"/>
  <c r="AJ585"/>
  <c r="N586"/>
  <c r="AJ586"/>
  <c r="AN586"/>
  <c r="N587"/>
  <c r="AJ587" s="1"/>
  <c r="D104" i="29"/>
  <c r="D104" i="30" s="1"/>
  <c r="AM587" i="1"/>
  <c r="J104" i="29"/>
  <c r="J104" i="30" s="1"/>
  <c r="N588" i="1"/>
  <c r="AJ588" s="1"/>
  <c r="S588"/>
  <c r="T588"/>
  <c r="AN588"/>
  <c r="AG588"/>
  <c r="AH588"/>
  <c r="N589"/>
  <c r="AJ589"/>
  <c r="S589"/>
  <c r="T589"/>
  <c r="AM589"/>
  <c r="AG589"/>
  <c r="AH589"/>
  <c r="N590"/>
  <c r="AJ590" s="1"/>
  <c r="S590"/>
  <c r="T590"/>
  <c r="AR590"/>
  <c r="AN590"/>
  <c r="AG590"/>
  <c r="AH590"/>
  <c r="N591"/>
  <c r="AJ591" s="1"/>
  <c r="S591"/>
  <c r="AO591" s="1"/>
  <c r="T591"/>
  <c r="AP591" s="1"/>
  <c r="AG591"/>
  <c r="AH591"/>
  <c r="N592"/>
  <c r="AJ592" s="1"/>
  <c r="S592"/>
  <c r="T592"/>
  <c r="AN592"/>
  <c r="AG592"/>
  <c r="AH592"/>
  <c r="N593"/>
  <c r="AJ593"/>
  <c r="S593"/>
  <c r="T593"/>
  <c r="AM593"/>
  <c r="AG593"/>
  <c r="AH593"/>
  <c r="N594"/>
  <c r="AJ594" s="1"/>
  <c r="S594"/>
  <c r="T594"/>
  <c r="AN594"/>
  <c r="AG594"/>
  <c r="AH594"/>
  <c r="N595"/>
  <c r="AJ595"/>
  <c r="S595"/>
  <c r="T595"/>
  <c r="AP595" s="1"/>
  <c r="AM595"/>
  <c r="AG595"/>
  <c r="AH595"/>
  <c r="N596"/>
  <c r="S596"/>
  <c r="T596"/>
  <c r="AN596"/>
  <c r="AG596"/>
  <c r="AH596"/>
  <c r="AJ596"/>
  <c r="N597"/>
  <c r="AJ597"/>
  <c r="S597"/>
  <c r="AO597" s="1"/>
  <c r="T597"/>
  <c r="AP597" s="1"/>
  <c r="AN597"/>
  <c r="AG597"/>
  <c r="AH597"/>
  <c r="N598"/>
  <c r="AJ598" s="1"/>
  <c r="S598"/>
  <c r="T598"/>
  <c r="AG598"/>
  <c r="AH598"/>
  <c r="N599"/>
  <c r="AJ599" s="1"/>
  <c r="S599"/>
  <c r="AO599" s="1"/>
  <c r="T599"/>
  <c r="AP599" s="1"/>
  <c r="AG599"/>
  <c r="AH599"/>
  <c r="N600"/>
  <c r="AJ600" s="1"/>
  <c r="S600"/>
  <c r="T600"/>
  <c r="D108" i="29"/>
  <c r="AR600" i="1"/>
  <c r="AG600"/>
  <c r="AH600"/>
  <c r="AJ601"/>
  <c r="N602"/>
  <c r="AJ602"/>
  <c r="S602"/>
  <c r="T602"/>
  <c r="AP602" s="1"/>
  <c r="AM602"/>
  <c r="AG602"/>
  <c r="AH602"/>
  <c r="N603"/>
  <c r="AJ603" s="1"/>
  <c r="S603"/>
  <c r="T603"/>
  <c r="AM603"/>
  <c r="AN603"/>
  <c r="AG603"/>
  <c r="AH603"/>
  <c r="N604"/>
  <c r="AN604"/>
  <c r="AJ604"/>
  <c r="N605"/>
  <c r="AJ605"/>
  <c r="S605"/>
  <c r="T605"/>
  <c r="AM605"/>
  <c r="AG605"/>
  <c r="AH605"/>
  <c r="N606"/>
  <c r="AJ606" s="1"/>
  <c r="S606"/>
  <c r="AO606" s="1"/>
  <c r="T606"/>
  <c r="AR606"/>
  <c r="AG606"/>
  <c r="AH606"/>
  <c r="N607"/>
  <c r="AJ607"/>
  <c r="S607"/>
  <c r="T607"/>
  <c r="AM607"/>
  <c r="AG607"/>
  <c r="AH607"/>
  <c r="N608"/>
  <c r="AJ608" s="1"/>
  <c r="AN608"/>
  <c r="N609"/>
  <c r="AJ609"/>
  <c r="S609"/>
  <c r="T609"/>
  <c r="AM609"/>
  <c r="AG609"/>
  <c r="AH609"/>
  <c r="N610"/>
  <c r="AJ610" s="1"/>
  <c r="S610"/>
  <c r="T610"/>
  <c r="AR610"/>
  <c r="AN610"/>
  <c r="AG610"/>
  <c r="AH610"/>
  <c r="N611"/>
  <c r="AJ611" s="1"/>
  <c r="S611"/>
  <c r="T611"/>
  <c r="AM611"/>
  <c r="AG611"/>
  <c r="AH611"/>
  <c r="N612"/>
  <c r="S612"/>
  <c r="AO612" s="1"/>
  <c r="T612"/>
  <c r="AN612"/>
  <c r="AG612"/>
  <c r="AH612"/>
  <c r="AJ612"/>
  <c r="N613"/>
  <c r="AJ613" s="1"/>
  <c r="S613"/>
  <c r="T613"/>
  <c r="AM613"/>
  <c r="AG613"/>
  <c r="AH613"/>
  <c r="N614"/>
  <c r="AJ614"/>
  <c r="S614"/>
  <c r="T614"/>
  <c r="AN614"/>
  <c r="AG614"/>
  <c r="AH614"/>
  <c r="N615"/>
  <c r="AJ615" s="1"/>
  <c r="S615"/>
  <c r="T615"/>
  <c r="AM615"/>
  <c r="AG615"/>
  <c r="AH615"/>
  <c r="N616"/>
  <c r="AJ616"/>
  <c r="S616"/>
  <c r="T616"/>
  <c r="AN616"/>
  <c r="AG616"/>
  <c r="AH616"/>
  <c r="N617"/>
  <c r="AJ617" s="1"/>
  <c r="S617"/>
  <c r="T617"/>
  <c r="AG617"/>
  <c r="AH617"/>
  <c r="N618"/>
  <c r="AJ618" s="1"/>
  <c r="S618"/>
  <c r="T618"/>
  <c r="AG618"/>
  <c r="AH618"/>
  <c r="N619"/>
  <c r="AJ619" s="1"/>
  <c r="S619"/>
  <c r="T619"/>
  <c r="AG619"/>
  <c r="AH619"/>
  <c r="N620"/>
  <c r="AJ620" s="1"/>
  <c r="S620"/>
  <c r="AO620" s="1"/>
  <c r="T620"/>
  <c r="AM620"/>
  <c r="AG620"/>
  <c r="AH620"/>
  <c r="N621"/>
  <c r="AJ621"/>
  <c r="S621"/>
  <c r="T621"/>
  <c r="AG621"/>
  <c r="AH621"/>
  <c r="N622"/>
  <c r="AJ622"/>
  <c r="S622"/>
  <c r="AO622" s="1"/>
  <c r="T622"/>
  <c r="AG622"/>
  <c r="AH622"/>
  <c r="J18" i="29" s="1"/>
  <c r="J18" i="30" s="1"/>
  <c r="N623" i="1"/>
  <c r="AJ623"/>
  <c r="S623"/>
  <c r="T623"/>
  <c r="AG623"/>
  <c r="AH623"/>
  <c r="A624"/>
  <c r="N624"/>
  <c r="AJ624" s="1"/>
  <c r="S624"/>
  <c r="T624"/>
  <c r="AG624"/>
  <c r="AH624"/>
  <c r="N625"/>
  <c r="AJ625" s="1"/>
  <c r="S625"/>
  <c r="T625"/>
  <c r="AR625"/>
  <c r="AM625"/>
  <c r="AG625"/>
  <c r="AH625"/>
  <c r="N626"/>
  <c r="AJ626" s="1"/>
  <c r="S626"/>
  <c r="T626"/>
  <c r="AG626"/>
  <c r="AH626"/>
  <c r="N627"/>
  <c r="AJ627" s="1"/>
  <c r="S627"/>
  <c r="T627"/>
  <c r="AM627"/>
  <c r="AG627"/>
  <c r="AH627"/>
  <c r="N628"/>
  <c r="AJ628"/>
  <c r="S628"/>
  <c r="T628"/>
  <c r="AG628"/>
  <c r="AH628"/>
  <c r="N629"/>
  <c r="AJ629"/>
  <c r="S629"/>
  <c r="T629"/>
  <c r="AM629"/>
  <c r="AG629"/>
  <c r="AH629"/>
  <c r="N630"/>
  <c r="AJ630" s="1"/>
  <c r="S630"/>
  <c r="T630"/>
  <c r="AG630"/>
  <c r="AH630"/>
  <c r="N631"/>
  <c r="AJ631" s="1"/>
  <c r="S631"/>
  <c r="T631"/>
  <c r="AM631"/>
  <c r="AG631"/>
  <c r="AH631"/>
  <c r="N632"/>
  <c r="AJ632"/>
  <c r="S632"/>
  <c r="T632"/>
  <c r="AN632"/>
  <c r="AG632"/>
  <c r="AH632"/>
  <c r="N633"/>
  <c r="AJ633" s="1"/>
  <c r="S633"/>
  <c r="T633"/>
  <c r="AG633"/>
  <c r="AH633"/>
  <c r="N634"/>
  <c r="AJ634" s="1"/>
  <c r="S634"/>
  <c r="AO634" s="1"/>
  <c r="T634"/>
  <c r="AR634"/>
  <c r="AG634"/>
  <c r="AH634"/>
  <c r="N635"/>
  <c r="AJ635"/>
  <c r="S635"/>
  <c r="T635"/>
  <c r="AP635" s="1"/>
  <c r="AR635"/>
  <c r="AG635"/>
  <c r="AH635"/>
  <c r="N636"/>
  <c r="AJ636" s="1"/>
  <c r="S636"/>
  <c r="T636"/>
  <c r="AG636"/>
  <c r="AH636"/>
  <c r="N637"/>
  <c r="AJ637" s="1"/>
  <c r="S637"/>
  <c r="T637"/>
  <c r="AG637"/>
  <c r="AH637"/>
  <c r="N638"/>
  <c r="AJ638" s="1"/>
  <c r="S638"/>
  <c r="T638"/>
  <c r="AG638"/>
  <c r="AH638"/>
  <c r="N639"/>
  <c r="AJ639" s="1"/>
  <c r="S639"/>
  <c r="T639"/>
  <c r="AG639"/>
  <c r="AH639"/>
  <c r="AN639"/>
  <c r="N640"/>
  <c r="AJ640"/>
  <c r="AN640"/>
  <c r="N641"/>
  <c r="AJ641" s="1"/>
  <c r="S641"/>
  <c r="AO641" s="1"/>
  <c r="T641"/>
  <c r="AM641"/>
  <c r="AG641"/>
  <c r="AH641"/>
  <c r="N642"/>
  <c r="AJ642"/>
  <c r="S642"/>
  <c r="T642"/>
  <c r="AR642"/>
  <c r="AN642"/>
  <c r="AG642"/>
  <c r="AH642"/>
  <c r="N643"/>
  <c r="AJ643"/>
  <c r="S643"/>
  <c r="T643"/>
  <c r="AP643" s="1"/>
  <c r="AM643"/>
  <c r="AG643"/>
  <c r="AH643"/>
  <c r="N644"/>
  <c r="AJ644" s="1"/>
  <c r="S644"/>
  <c r="T644"/>
  <c r="AG644"/>
  <c r="AH644"/>
  <c r="N645"/>
  <c r="AJ645" s="1"/>
  <c r="S645"/>
  <c r="T645"/>
  <c r="AG645"/>
  <c r="AH645"/>
  <c r="AN645"/>
  <c r="N646"/>
  <c r="AJ646"/>
  <c r="S646"/>
  <c r="T646"/>
  <c r="AR646"/>
  <c r="AG646"/>
  <c r="AH646"/>
  <c r="N647"/>
  <c r="AJ647" s="1"/>
  <c r="S647"/>
  <c r="T647"/>
  <c r="AG647"/>
  <c r="AH647"/>
  <c r="AN647"/>
  <c r="N648"/>
  <c r="AJ648"/>
  <c r="S648"/>
  <c r="T648"/>
  <c r="AP648" s="1"/>
  <c r="AR648"/>
  <c r="AG648"/>
  <c r="AH648"/>
  <c r="N649"/>
  <c r="AJ649" s="1"/>
  <c r="S649"/>
  <c r="T649"/>
  <c r="AM649"/>
  <c r="AG649"/>
  <c r="AH649"/>
  <c r="N650"/>
  <c r="AJ650"/>
  <c r="S650"/>
  <c r="T650"/>
  <c r="AN650"/>
  <c r="AG650"/>
  <c r="AH650"/>
  <c r="N651"/>
  <c r="AJ651" s="1"/>
  <c r="S651"/>
  <c r="T651"/>
  <c r="D17" i="29"/>
  <c r="D17" i="30" s="1"/>
  <c r="AM651" i="1"/>
  <c r="AG651"/>
  <c r="AH651"/>
  <c r="N652"/>
  <c r="AJ652" s="1"/>
  <c r="S652"/>
  <c r="AO652" s="1"/>
  <c r="T652"/>
  <c r="AN652"/>
  <c r="AG652"/>
  <c r="AH652"/>
  <c r="N653"/>
  <c r="AJ653"/>
  <c r="S653"/>
  <c r="T653"/>
  <c r="AG653"/>
  <c r="AH653"/>
  <c r="N654"/>
  <c r="AJ654"/>
  <c r="S654"/>
  <c r="T654"/>
  <c r="AM654"/>
  <c r="AG654"/>
  <c r="AH654"/>
  <c r="N655"/>
  <c r="AJ655" s="1"/>
  <c r="S655"/>
  <c r="AO655" s="1"/>
  <c r="T655"/>
  <c r="AN655"/>
  <c r="AG655"/>
  <c r="AH655"/>
  <c r="N656"/>
  <c r="AJ656"/>
  <c r="S656"/>
  <c r="T656"/>
  <c r="AG656"/>
  <c r="AH656"/>
  <c r="N657"/>
  <c r="AJ657"/>
  <c r="S657"/>
  <c r="T657"/>
  <c r="AM657"/>
  <c r="AG657"/>
  <c r="AH657"/>
  <c r="N658"/>
  <c r="AJ658" s="1"/>
  <c r="S658"/>
  <c r="AO658" s="1"/>
  <c r="T658"/>
  <c r="AN658"/>
  <c r="AG658"/>
  <c r="AH658"/>
  <c r="N659"/>
  <c r="AJ659"/>
  <c r="S659"/>
  <c r="T659"/>
  <c r="AM659"/>
  <c r="AG659"/>
  <c r="AH659"/>
  <c r="N660"/>
  <c r="AJ660" s="1"/>
  <c r="S660"/>
  <c r="AO660" s="1"/>
  <c r="T660"/>
  <c r="AN660"/>
  <c r="AG660"/>
  <c r="AH660"/>
  <c r="N661"/>
  <c r="AJ661"/>
  <c r="S661"/>
  <c r="T661"/>
  <c r="AG661"/>
  <c r="AH661"/>
  <c r="N662"/>
  <c r="AJ662"/>
  <c r="S662"/>
  <c r="T662"/>
  <c r="AG662"/>
  <c r="AH662"/>
  <c r="N663"/>
  <c r="AJ663"/>
  <c r="S663"/>
  <c r="T663"/>
  <c r="AP663" s="1"/>
  <c r="AN663"/>
  <c r="AG663"/>
  <c r="AH663"/>
  <c r="N664"/>
  <c r="AJ664" s="1"/>
  <c r="S664"/>
  <c r="T664"/>
  <c r="AR664"/>
  <c r="AG664"/>
  <c r="AH664"/>
  <c r="N665"/>
  <c r="AJ665"/>
  <c r="S665"/>
  <c r="T665"/>
  <c r="AG665"/>
  <c r="AH665"/>
  <c r="N666"/>
  <c r="AJ666"/>
  <c r="S666"/>
  <c r="T666"/>
  <c r="AN666"/>
  <c r="AG666"/>
  <c r="AH666"/>
  <c r="N667"/>
  <c r="AJ667" s="1"/>
  <c r="AM667"/>
  <c r="AN667"/>
  <c r="N668"/>
  <c r="AJ668" s="1"/>
  <c r="S668"/>
  <c r="T668"/>
  <c r="AN668"/>
  <c r="AG668"/>
  <c r="AH668"/>
  <c r="N669"/>
  <c r="AJ669"/>
  <c r="S669"/>
  <c r="T669"/>
  <c r="AN669"/>
  <c r="AG669"/>
  <c r="AH669"/>
  <c r="N670"/>
  <c r="S670"/>
  <c r="T670"/>
  <c r="AR670"/>
  <c r="AG670"/>
  <c r="AH670"/>
  <c r="AJ670"/>
  <c r="N671"/>
  <c r="AJ671"/>
  <c r="S671"/>
  <c r="T671"/>
  <c r="AN671"/>
  <c r="AG671"/>
  <c r="AH671"/>
  <c r="N672"/>
  <c r="AJ672" s="1"/>
  <c r="S672"/>
  <c r="T672"/>
  <c r="AG672"/>
  <c r="AH672"/>
  <c r="N673"/>
  <c r="AJ673" s="1"/>
  <c r="S673"/>
  <c r="T673"/>
  <c r="AN673"/>
  <c r="AG673"/>
  <c r="AH673"/>
  <c r="N674"/>
  <c r="AJ674"/>
  <c r="S674"/>
  <c r="T674"/>
  <c r="AG674"/>
  <c r="AH674"/>
  <c r="N675"/>
  <c r="AJ675"/>
  <c r="S675"/>
  <c r="T675"/>
  <c r="AG675"/>
  <c r="AH675"/>
  <c r="N676"/>
  <c r="AJ676"/>
  <c r="S676"/>
  <c r="T676"/>
  <c r="AN676"/>
  <c r="AG676"/>
  <c r="AH676"/>
  <c r="N677"/>
  <c r="AJ677" s="1"/>
  <c r="S677"/>
  <c r="T677"/>
  <c r="AG677"/>
  <c r="AH677"/>
  <c r="N678"/>
  <c r="AJ678" s="1"/>
  <c r="S678"/>
  <c r="T678"/>
  <c r="AN678"/>
  <c r="AG678"/>
  <c r="AH678"/>
  <c r="N679"/>
  <c r="AJ679"/>
  <c r="S679"/>
  <c r="T679"/>
  <c r="AP679" s="1"/>
  <c r="AN679"/>
  <c r="AG679"/>
  <c r="AH679"/>
  <c r="N680"/>
  <c r="AJ680" s="1"/>
  <c r="S680"/>
  <c r="T680"/>
  <c r="AG680"/>
  <c r="AH680"/>
  <c r="N681"/>
  <c r="AJ681" s="1"/>
  <c r="S681"/>
  <c r="AO681" s="1"/>
  <c r="T681"/>
  <c r="AN681"/>
  <c r="AG681"/>
  <c r="AH681"/>
  <c r="N682"/>
  <c r="AJ682"/>
  <c r="S682"/>
  <c r="T682"/>
  <c r="AG682"/>
  <c r="AH682"/>
  <c r="N683"/>
  <c r="AJ683"/>
  <c r="S683"/>
  <c r="T683"/>
  <c r="AP683" s="1"/>
  <c r="AM683"/>
  <c r="AG683"/>
  <c r="AH683"/>
  <c r="N684"/>
  <c r="AJ684" s="1"/>
  <c r="S684"/>
  <c r="T684"/>
  <c r="AR684"/>
  <c r="AG684"/>
  <c r="AH684"/>
  <c r="N685"/>
  <c r="AJ685"/>
  <c r="S685"/>
  <c r="T685"/>
  <c r="AP685" s="1"/>
  <c r="AM685"/>
  <c r="AG685"/>
  <c r="AH685"/>
  <c r="N686"/>
  <c r="AJ686" s="1"/>
  <c r="S686"/>
  <c r="T686"/>
  <c r="AG686"/>
  <c r="AH686"/>
  <c r="N687"/>
  <c r="AJ687" s="1"/>
  <c r="S687"/>
  <c r="AO687" s="1"/>
  <c r="T687"/>
  <c r="AN687"/>
  <c r="AG687"/>
  <c r="AH687"/>
  <c r="N688"/>
  <c r="AJ688"/>
  <c r="S688"/>
  <c r="T688"/>
  <c r="AG688"/>
  <c r="AH688"/>
  <c r="N689"/>
  <c r="AJ689"/>
  <c r="S689"/>
  <c r="T689"/>
  <c r="AG689"/>
  <c r="AH689"/>
  <c r="N690"/>
  <c r="AJ690"/>
  <c r="S690"/>
  <c r="T690"/>
  <c r="AM690"/>
  <c r="AG690"/>
  <c r="AH690"/>
  <c r="N691"/>
  <c r="AJ691" s="1"/>
  <c r="S691"/>
  <c r="T691"/>
  <c r="AG691"/>
  <c r="AH691"/>
  <c r="N692"/>
  <c r="AJ692" s="1"/>
  <c r="S692"/>
  <c r="T692"/>
  <c r="AN692"/>
  <c r="AG692"/>
  <c r="AH692"/>
  <c r="N693"/>
  <c r="AJ693"/>
  <c r="S693"/>
  <c r="T693"/>
  <c r="AG693"/>
  <c r="AH693"/>
  <c r="N694"/>
  <c r="AJ694"/>
  <c r="S694"/>
  <c r="T694"/>
  <c r="AR694"/>
  <c r="AG694"/>
  <c r="AH694"/>
  <c r="N695"/>
  <c r="AJ695" s="1"/>
  <c r="S695"/>
  <c r="AO695" s="1"/>
  <c r="T695"/>
  <c r="AN695"/>
  <c r="AG695"/>
  <c r="AH695"/>
  <c r="N696"/>
  <c r="AJ696"/>
  <c r="S696"/>
  <c r="T696"/>
  <c r="AG696"/>
  <c r="AH696"/>
  <c r="N697"/>
  <c r="AJ697"/>
  <c r="S697"/>
  <c r="T697"/>
  <c r="AG697"/>
  <c r="AH697"/>
  <c r="N698"/>
  <c r="AJ698"/>
  <c r="S698"/>
  <c r="T698"/>
  <c r="AR698"/>
  <c r="AG698"/>
  <c r="AH698"/>
  <c r="N699"/>
  <c r="AJ699" s="1"/>
  <c r="S699"/>
  <c r="T699"/>
  <c r="AM699"/>
  <c r="AG699"/>
  <c r="AH699"/>
  <c r="N700"/>
  <c r="AJ700"/>
  <c r="S700"/>
  <c r="T700"/>
  <c r="AN700"/>
  <c r="AG700"/>
  <c r="AH700"/>
  <c r="N701"/>
  <c r="AJ701" s="1"/>
  <c r="S701"/>
  <c r="T701"/>
  <c r="AM701"/>
  <c r="AG701"/>
  <c r="AH701"/>
  <c r="N702"/>
  <c r="AJ702"/>
  <c r="S702"/>
  <c r="T702"/>
  <c r="AN702"/>
  <c r="AG702"/>
  <c r="AH702"/>
  <c r="N703"/>
  <c r="AJ703" s="1"/>
  <c r="S703"/>
  <c r="T703"/>
  <c r="AM703"/>
  <c r="AS703" s="1"/>
  <c r="AG703"/>
  <c r="AH703"/>
  <c r="N704"/>
  <c r="AJ704" s="1"/>
  <c r="N705"/>
  <c r="AJ705" s="1"/>
  <c r="AM705"/>
  <c r="N706"/>
  <c r="AJ706"/>
  <c r="N707"/>
  <c r="AJ707"/>
  <c r="N708"/>
  <c r="AJ708"/>
  <c r="N709"/>
  <c r="AJ709"/>
  <c r="N710"/>
  <c r="AJ710"/>
  <c r="N711"/>
  <c r="AJ711"/>
  <c r="AM711"/>
  <c r="N712"/>
  <c r="AJ712" s="1"/>
  <c r="N713"/>
  <c r="AJ713" s="1"/>
  <c r="AM713"/>
  <c r="N714"/>
  <c r="AJ714"/>
  <c r="AR714"/>
  <c r="AN714"/>
  <c r="N715"/>
  <c r="AJ715"/>
  <c r="N716"/>
  <c r="AJ716"/>
  <c r="S716"/>
  <c r="T716"/>
  <c r="AR716"/>
  <c r="AG716"/>
  <c r="AH716"/>
  <c r="N717"/>
  <c r="AJ717" s="1"/>
  <c r="S717"/>
  <c r="T717"/>
  <c r="AG717"/>
  <c r="AH717"/>
  <c r="N718"/>
  <c r="AJ718" s="1"/>
  <c r="S718"/>
  <c r="T718"/>
  <c r="AG718"/>
  <c r="AH718"/>
  <c r="N719"/>
  <c r="AJ719" s="1"/>
  <c r="S719"/>
  <c r="T719"/>
  <c r="AG719"/>
  <c r="AH719"/>
  <c r="N720"/>
  <c r="AJ720" s="1"/>
  <c r="S720"/>
  <c r="T720"/>
  <c r="AG720"/>
  <c r="AH720"/>
  <c r="N721"/>
  <c r="AJ721" s="1"/>
  <c r="S721"/>
  <c r="T721"/>
  <c r="AN721"/>
  <c r="AG721"/>
  <c r="AH721"/>
  <c r="N722"/>
  <c r="AJ722"/>
  <c r="S722"/>
  <c r="T722"/>
  <c r="AN722"/>
  <c r="AG722"/>
  <c r="AH722"/>
  <c r="N723"/>
  <c r="AJ723" s="1"/>
  <c r="S723"/>
  <c r="T723"/>
  <c r="AM723"/>
  <c r="AS723" s="1"/>
  <c r="AG723"/>
  <c r="AH723"/>
  <c r="N724"/>
  <c r="AJ724" s="1"/>
  <c r="S724"/>
  <c r="T724"/>
  <c r="AG724"/>
  <c r="AH724"/>
  <c r="N725"/>
  <c r="AJ725" s="1"/>
  <c r="S725"/>
  <c r="T725"/>
  <c r="AM725"/>
  <c r="AG725"/>
  <c r="AH725"/>
  <c r="N726"/>
  <c r="AJ726"/>
  <c r="S726"/>
  <c r="T726"/>
  <c r="AG726"/>
  <c r="AH726"/>
  <c r="N727"/>
  <c r="AJ727"/>
  <c r="S727"/>
  <c r="T727"/>
  <c r="AG727"/>
  <c r="AH727"/>
  <c r="N728"/>
  <c r="S728"/>
  <c r="T728"/>
  <c r="AR728"/>
  <c r="AG728"/>
  <c r="AH728"/>
  <c r="AJ728"/>
  <c r="N729"/>
  <c r="S729"/>
  <c r="T729"/>
  <c r="AR729"/>
  <c r="AG729"/>
  <c r="AH729"/>
  <c r="AJ729"/>
  <c r="N730"/>
  <c r="AJ730"/>
  <c r="S730"/>
  <c r="T730"/>
  <c r="AM730"/>
  <c r="AG730"/>
  <c r="AH730"/>
  <c r="N731"/>
  <c r="AJ731" s="1"/>
  <c r="S731"/>
  <c r="T731"/>
  <c r="AG731"/>
  <c r="AH731"/>
  <c r="N732"/>
  <c r="AJ732" s="1"/>
  <c r="S732"/>
  <c r="T732"/>
  <c r="AG732"/>
  <c r="AH732"/>
  <c r="N733"/>
  <c r="AJ733" s="1"/>
  <c r="S733"/>
  <c r="T733"/>
  <c r="AG733"/>
  <c r="AH733"/>
  <c r="N734"/>
  <c r="AJ734" s="1"/>
  <c r="S734"/>
  <c r="T734"/>
  <c r="AN734"/>
  <c r="AG734"/>
  <c r="AH734"/>
  <c r="N735"/>
  <c r="AJ735"/>
  <c r="S735"/>
  <c r="T735"/>
  <c r="AG735"/>
  <c r="AH735"/>
  <c r="N736"/>
  <c r="AJ736"/>
  <c r="S736"/>
  <c r="T736"/>
  <c r="AG736"/>
  <c r="AH736"/>
  <c r="N737"/>
  <c r="AJ737"/>
  <c r="S737"/>
  <c r="T737"/>
  <c r="AG737"/>
  <c r="AH737"/>
  <c r="N738"/>
  <c r="AJ738"/>
  <c r="S738"/>
  <c r="T738"/>
  <c r="AM738"/>
  <c r="AG738"/>
  <c r="AH738"/>
  <c r="N739"/>
  <c r="AJ739" s="1"/>
  <c r="S739"/>
  <c r="AO739" s="1"/>
  <c r="T739"/>
  <c r="AP739" s="1"/>
  <c r="AG739"/>
  <c r="O23" i="36" s="1"/>
  <c r="AH739" i="1"/>
  <c r="N740"/>
  <c r="AJ740"/>
  <c r="S740"/>
  <c r="T740"/>
  <c r="AG740"/>
  <c r="AH740"/>
  <c r="N741"/>
  <c r="AJ741"/>
  <c r="S741"/>
  <c r="T741"/>
  <c r="AP741" s="1"/>
  <c r="AM741"/>
  <c r="AG741"/>
  <c r="AH741"/>
  <c r="N742"/>
  <c r="AJ742" s="1"/>
  <c r="S742"/>
  <c r="T742"/>
  <c r="AG742"/>
  <c r="AH742"/>
  <c r="N743"/>
  <c r="AJ743" s="1"/>
  <c r="S743"/>
  <c r="T743"/>
  <c r="AG743"/>
  <c r="AH743"/>
  <c r="N744"/>
  <c r="AJ744" s="1"/>
  <c r="S744"/>
  <c r="T744"/>
  <c r="AR744"/>
  <c r="AG744"/>
  <c r="AH744"/>
  <c r="N745"/>
  <c r="AJ745"/>
  <c r="S745"/>
  <c r="T745"/>
  <c r="AP745" s="1"/>
  <c r="AN745"/>
  <c r="AG745"/>
  <c r="AH745"/>
  <c r="N746"/>
  <c r="AJ746" s="1"/>
  <c r="S746"/>
  <c r="T746"/>
  <c r="AG746"/>
  <c r="AH746"/>
  <c r="N747"/>
  <c r="AJ747" s="1"/>
  <c r="S747"/>
  <c r="T747"/>
  <c r="AR747"/>
  <c r="AG747"/>
  <c r="AH747"/>
  <c r="N748"/>
  <c r="AJ748"/>
  <c r="S748"/>
  <c r="T748"/>
  <c r="AR748"/>
  <c r="AG748"/>
  <c r="AH748"/>
  <c r="N749"/>
  <c r="AJ749" s="1"/>
  <c r="S749"/>
  <c r="T749"/>
  <c r="AM749"/>
  <c r="AG749"/>
  <c r="AH749"/>
  <c r="N750"/>
  <c r="AJ750"/>
  <c r="S750"/>
  <c r="T750"/>
  <c r="AG750"/>
  <c r="AH750"/>
  <c r="N751"/>
  <c r="AJ751"/>
  <c r="S751"/>
  <c r="T751"/>
  <c r="AP751" s="1"/>
  <c r="AM751"/>
  <c r="AG751"/>
  <c r="AH751"/>
  <c r="N752"/>
  <c r="AJ752" s="1"/>
  <c r="S752"/>
  <c r="T752"/>
  <c r="AR752"/>
  <c r="AG752"/>
  <c r="AH752"/>
  <c r="N753"/>
  <c r="AJ753"/>
  <c r="S753"/>
  <c r="T753"/>
  <c r="AP753" s="1"/>
  <c r="AM753"/>
  <c r="AG753"/>
  <c r="AH753"/>
  <c r="N754"/>
  <c r="AJ754" s="1"/>
  <c r="S754"/>
  <c r="T754"/>
  <c r="AG754"/>
  <c r="AH754"/>
  <c r="N755"/>
  <c r="AJ755" s="1"/>
  <c r="S755"/>
  <c r="T755"/>
  <c r="AG755"/>
  <c r="AH755"/>
  <c r="N756"/>
  <c r="AJ756" s="1"/>
  <c r="S756"/>
  <c r="T756"/>
  <c r="AR756"/>
  <c r="AG756"/>
  <c r="AH756"/>
  <c r="AM756"/>
  <c r="N757"/>
  <c r="AJ757" s="1"/>
  <c r="S757"/>
  <c r="T757"/>
  <c r="AG757"/>
  <c r="AH757"/>
  <c r="N758"/>
  <c r="AJ758" s="1"/>
  <c r="S758"/>
  <c r="T758"/>
  <c r="AM758"/>
  <c r="AG758"/>
  <c r="AH758"/>
  <c r="N759"/>
  <c r="AJ759"/>
  <c r="S759"/>
  <c r="O33" i="36"/>
  <c r="T759" i="1"/>
  <c r="AM759"/>
  <c r="AG759"/>
  <c r="AH759"/>
  <c r="N760"/>
  <c r="AJ760"/>
  <c r="S760"/>
  <c r="T760"/>
  <c r="AR760"/>
  <c r="AN760"/>
  <c r="AG760"/>
  <c r="AH760"/>
  <c r="N761"/>
  <c r="AJ761"/>
  <c r="S761"/>
  <c r="T761"/>
  <c r="AG761"/>
  <c r="AH761"/>
  <c r="N762"/>
  <c r="AJ762"/>
  <c r="S762"/>
  <c r="T762"/>
  <c r="AN762"/>
  <c r="AG762"/>
  <c r="AH762"/>
  <c r="N763"/>
  <c r="AJ763" s="1"/>
  <c r="S763"/>
  <c r="T763"/>
  <c r="AG763"/>
  <c r="AH763"/>
  <c r="J72" i="29"/>
  <c r="J72" i="30" s="1"/>
  <c r="N764" i="1"/>
  <c r="AJ764" s="1"/>
  <c r="S764"/>
  <c r="T764"/>
  <c r="AR764"/>
  <c r="AM764"/>
  <c r="AG764"/>
  <c r="AH764"/>
  <c r="N765"/>
  <c r="AJ765" s="1"/>
  <c r="S765"/>
  <c r="T765"/>
  <c r="AN765"/>
  <c r="AG765"/>
  <c r="AH765"/>
  <c r="N766"/>
  <c r="AJ766"/>
  <c r="S766"/>
  <c r="T766"/>
  <c r="AG766"/>
  <c r="AH766"/>
  <c r="N767"/>
  <c r="AJ767"/>
  <c r="S767"/>
  <c r="T767"/>
  <c r="AM767"/>
  <c r="AG767"/>
  <c r="AH767"/>
  <c r="N768"/>
  <c r="AJ768" s="1"/>
  <c r="S768"/>
  <c r="T768"/>
  <c r="AN768"/>
  <c r="AG768"/>
  <c r="AH768"/>
  <c r="N769"/>
  <c r="AJ769"/>
  <c r="S769"/>
  <c r="T769"/>
  <c r="AM769"/>
  <c r="AG769"/>
  <c r="AH769"/>
  <c r="N770"/>
  <c r="AJ770" s="1"/>
  <c r="S770"/>
  <c r="T770"/>
  <c r="AN770"/>
  <c r="AG770"/>
  <c r="AH770"/>
  <c r="N771"/>
  <c r="AJ771"/>
  <c r="S771"/>
  <c r="T771"/>
  <c r="AG771"/>
  <c r="AH771"/>
  <c r="N772"/>
  <c r="AJ772"/>
  <c r="S772"/>
  <c r="T772"/>
  <c r="AR772"/>
  <c r="AG772"/>
  <c r="AH772"/>
  <c r="N773"/>
  <c r="AJ773" s="1"/>
  <c r="S773"/>
  <c r="T773"/>
  <c r="AN773"/>
  <c r="AG773"/>
  <c r="AH773"/>
  <c r="N774"/>
  <c r="AJ774"/>
  <c r="S774"/>
  <c r="T774"/>
  <c r="AR774"/>
  <c r="AG774"/>
  <c r="AH774"/>
  <c r="N775"/>
  <c r="AJ775"/>
  <c r="S775"/>
  <c r="T775"/>
  <c r="AM775"/>
  <c r="AG775"/>
  <c r="AH775"/>
  <c r="N776"/>
  <c r="AJ776" s="1"/>
  <c r="S776"/>
  <c r="T776"/>
  <c r="AR776"/>
  <c r="AN776"/>
  <c r="AG776"/>
  <c r="AH776"/>
  <c r="N777"/>
  <c r="AJ777" s="1"/>
  <c r="S777"/>
  <c r="T777"/>
  <c r="AR777"/>
  <c r="AG777"/>
  <c r="AH777"/>
  <c r="N778"/>
  <c r="AJ778"/>
  <c r="S778"/>
  <c r="T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 s="1"/>
  <c r="S781"/>
  <c r="T781"/>
  <c r="AR781"/>
  <c r="AM781"/>
  <c r="AG781"/>
  <c r="AH781"/>
  <c r="N782"/>
  <c r="AJ782" s="1"/>
  <c r="S782"/>
  <c r="T782"/>
  <c r="AR782"/>
  <c r="AN782"/>
  <c r="AG782"/>
  <c r="AH782"/>
  <c r="N783"/>
  <c r="AJ783" s="1"/>
  <c r="S783"/>
  <c r="T783"/>
  <c r="AN783"/>
  <c r="AG783"/>
  <c r="AH783"/>
  <c r="N784"/>
  <c r="AJ784"/>
  <c r="S784"/>
  <c r="T784"/>
  <c r="AR784"/>
  <c r="AG784"/>
  <c r="AH784"/>
  <c r="N785"/>
  <c r="AJ785" s="1"/>
  <c r="S785"/>
  <c r="T785"/>
  <c r="AR785"/>
  <c r="AN785"/>
  <c r="AG785"/>
  <c r="AH785"/>
  <c r="N786"/>
  <c r="AJ786" s="1"/>
  <c r="S786"/>
  <c r="T786"/>
  <c r="AR786"/>
  <c r="AG786"/>
  <c r="AH786"/>
  <c r="N787"/>
  <c r="AJ787"/>
  <c r="S787"/>
  <c r="T787"/>
  <c r="AP787" s="1"/>
  <c r="AM787"/>
  <c r="AG787"/>
  <c r="AH787"/>
  <c r="N788"/>
  <c r="AJ788" s="1"/>
  <c r="S788"/>
  <c r="T788"/>
  <c r="AN788"/>
  <c r="AG788"/>
  <c r="AH788"/>
  <c r="N789"/>
  <c r="AJ789"/>
  <c r="S789"/>
  <c r="T789"/>
  <c r="AR789"/>
  <c r="AM789"/>
  <c r="AG789"/>
  <c r="AH789"/>
  <c r="N790"/>
  <c r="AJ790"/>
  <c r="S790"/>
  <c r="T790"/>
  <c r="AN790"/>
  <c r="AG790"/>
  <c r="AH790"/>
  <c r="N791"/>
  <c r="AJ791" s="1"/>
  <c r="S791"/>
  <c r="T791"/>
  <c r="AP791" s="1"/>
  <c r="AN791"/>
  <c r="AG791"/>
  <c r="J68" i="29"/>
  <c r="J68" i="30" s="1"/>
  <c r="AH791" i="1"/>
  <c r="J37" i="29"/>
  <c r="J37" i="30" s="1"/>
  <c r="N792" i="1"/>
  <c r="AJ792" s="1"/>
  <c r="S792"/>
  <c r="T792"/>
  <c r="AM792"/>
  <c r="AG792"/>
  <c r="AH792"/>
  <c r="N793"/>
  <c r="AJ793"/>
  <c r="S793"/>
  <c r="T793"/>
  <c r="AR793"/>
  <c r="AN793"/>
  <c r="AG793"/>
  <c r="AH793"/>
  <c r="N794"/>
  <c r="AJ794"/>
  <c r="S794"/>
  <c r="T794"/>
  <c r="AM794"/>
  <c r="AG794"/>
  <c r="AH794"/>
  <c r="N795"/>
  <c r="AJ795" s="1"/>
  <c r="S795"/>
  <c r="T795"/>
  <c r="AM795"/>
  <c r="AG795"/>
  <c r="AH795"/>
  <c r="N796"/>
  <c r="AJ796"/>
  <c r="S796"/>
  <c r="T796"/>
  <c r="AR796"/>
  <c r="AN796"/>
  <c r="AG796"/>
  <c r="AH796"/>
  <c r="N797"/>
  <c r="AJ797"/>
  <c r="S797"/>
  <c r="T797"/>
  <c r="AM797"/>
  <c r="AG797"/>
  <c r="AH797"/>
  <c r="N798"/>
  <c r="AJ798" s="1"/>
  <c r="S798"/>
  <c r="T798"/>
  <c r="AN798"/>
  <c r="AG798"/>
  <c r="AH798"/>
  <c r="N799"/>
  <c r="AJ799"/>
  <c r="S799"/>
  <c r="T799"/>
  <c r="AR799"/>
  <c r="AN799"/>
  <c r="AG799"/>
  <c r="AH799"/>
  <c r="J92" i="29" s="1"/>
  <c r="N800" i="1"/>
  <c r="AJ800"/>
  <c r="S800"/>
  <c r="T800"/>
  <c r="AR800"/>
  <c r="AG800"/>
  <c r="AH800"/>
  <c r="N801"/>
  <c r="AJ801"/>
  <c r="S801"/>
  <c r="T801"/>
  <c r="AG801"/>
  <c r="AH801"/>
  <c r="N802"/>
  <c r="AJ802"/>
  <c r="S802"/>
  <c r="T802"/>
  <c r="AM802"/>
  <c r="AG802"/>
  <c r="AH802"/>
  <c r="N803"/>
  <c r="AJ803" s="1"/>
  <c r="S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T806"/>
  <c r="AN806"/>
  <c r="AG806"/>
  <c r="AH806"/>
  <c r="N807"/>
  <c r="AJ807" s="1"/>
  <c r="S807"/>
  <c r="T807"/>
  <c r="AG807"/>
  <c r="AH807"/>
  <c r="N808"/>
  <c r="AJ808" s="1"/>
  <c r="S808"/>
  <c r="T808"/>
  <c r="AR808"/>
  <c r="AN808"/>
  <c r="AG808"/>
  <c r="AH808"/>
  <c r="N809"/>
  <c r="AJ809" s="1"/>
  <c r="S809"/>
  <c r="T809"/>
  <c r="AG809"/>
  <c r="AH809"/>
  <c r="N810"/>
  <c r="AJ810" s="1"/>
  <c r="S810"/>
  <c r="T810"/>
  <c r="AM810"/>
  <c r="AG810"/>
  <c r="AH810"/>
  <c r="N811"/>
  <c r="AJ811"/>
  <c r="S811"/>
  <c r="T811"/>
  <c r="AM811"/>
  <c r="AS811"/>
  <c r="AG811"/>
  <c r="AH811"/>
  <c r="N812"/>
  <c r="AJ812"/>
  <c r="S812"/>
  <c r="T812"/>
  <c r="AR812"/>
  <c r="AN812"/>
  <c r="AG812"/>
  <c r="AH812"/>
  <c r="N813"/>
  <c r="AJ813"/>
  <c r="S813"/>
  <c r="T813"/>
  <c r="AP813" s="1"/>
  <c r="AM813"/>
  <c r="AG813"/>
  <c r="AH813"/>
  <c r="N814"/>
  <c r="AJ814" s="1"/>
  <c r="S814"/>
  <c r="T814"/>
  <c r="AR814"/>
  <c r="AN814"/>
  <c r="AG814"/>
  <c r="AH814"/>
  <c r="N815"/>
  <c r="AJ815" s="1"/>
  <c r="S815"/>
  <c r="T815"/>
  <c r="AG815"/>
  <c r="AH815"/>
  <c r="N816"/>
  <c r="AJ816" s="1"/>
  <c r="S816"/>
  <c r="T816"/>
  <c r="AG816"/>
  <c r="AH816"/>
  <c r="N817"/>
  <c r="AJ817" s="1"/>
  <c r="S817"/>
  <c r="T817"/>
  <c r="AN817"/>
  <c r="AG817"/>
  <c r="AH817"/>
  <c r="N818"/>
  <c r="AJ818"/>
  <c r="S818"/>
  <c r="T818"/>
  <c r="AR818"/>
  <c r="AG818"/>
  <c r="AH818"/>
  <c r="N819"/>
  <c r="AJ819" s="1"/>
  <c r="S819"/>
  <c r="T819"/>
  <c r="AM819"/>
  <c r="AS819" s="1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G823"/>
  <c r="AH823"/>
  <c r="N824"/>
  <c r="AJ824"/>
  <c r="S824"/>
  <c r="T824"/>
  <c r="AR824"/>
  <c r="AG824"/>
  <c r="AH824"/>
  <c r="N825"/>
  <c r="AJ825" s="1"/>
  <c r="S825"/>
  <c r="T825"/>
  <c r="AG825"/>
  <c r="AH825"/>
  <c r="N826"/>
  <c r="AJ826" s="1"/>
  <c r="S826"/>
  <c r="T826"/>
  <c r="AM826"/>
  <c r="AG826"/>
  <c r="AH826"/>
  <c r="N827"/>
  <c r="AJ827"/>
  <c r="S827"/>
  <c r="T827"/>
  <c r="AP827" s="1"/>
  <c r="AM827"/>
  <c r="AG827"/>
  <c r="AH827"/>
  <c r="N828"/>
  <c r="AJ828" s="1"/>
  <c r="S828"/>
  <c r="T828"/>
  <c r="D101" i="29"/>
  <c r="D101" i="30" s="1"/>
  <c r="AR828" i="1"/>
  <c r="AN828"/>
  <c r="AG828"/>
  <c r="AH828"/>
  <c r="O829"/>
  <c r="P829"/>
  <c r="AC829"/>
  <c r="AD829"/>
  <c r="AJ829"/>
  <c r="AJ831"/>
  <c r="N832"/>
  <c r="AJ832"/>
  <c r="AM832"/>
  <c r="N833"/>
  <c r="AJ833" s="1"/>
  <c r="AK833"/>
  <c r="AR833" s="1"/>
  <c r="N834"/>
  <c r="AJ834" s="1"/>
  <c r="AM834"/>
  <c r="AT834"/>
  <c r="N835"/>
  <c r="AJ835" s="1"/>
  <c r="T835"/>
  <c r="AP835" s="1"/>
  <c r="AL835"/>
  <c r="AN835"/>
  <c r="AH835"/>
  <c r="N836"/>
  <c r="AJ836" s="1"/>
  <c r="T836"/>
  <c r="AP836" s="1"/>
  <c r="AL836"/>
  <c r="AR836" s="1"/>
  <c r="AM836"/>
  <c r="AH836"/>
  <c r="N837"/>
  <c r="AJ837" s="1"/>
  <c r="AN837"/>
  <c r="N838"/>
  <c r="AJ838"/>
  <c r="AM838"/>
  <c r="AN838"/>
  <c r="N839"/>
  <c r="AN839"/>
  <c r="AJ839"/>
  <c r="N840"/>
  <c r="AJ840" s="1"/>
  <c r="AM840"/>
  <c r="N841"/>
  <c r="AJ841"/>
  <c r="AN841"/>
  <c r="N842"/>
  <c r="AJ842" s="1"/>
  <c r="T842"/>
  <c r="AM842"/>
  <c r="AH842"/>
  <c r="N843"/>
  <c r="AJ843"/>
  <c r="T843"/>
  <c r="AL843"/>
  <c r="AR843" s="1"/>
  <c r="AN843"/>
  <c r="AH843"/>
  <c r="N844"/>
  <c r="AJ844"/>
  <c r="T844"/>
  <c r="AL844"/>
  <c r="AM844"/>
  <c r="AH844"/>
  <c r="N845"/>
  <c r="T845"/>
  <c r="AN845"/>
  <c r="AH845"/>
  <c r="AJ845"/>
  <c r="N846"/>
  <c r="AJ846" s="1"/>
  <c r="AM846"/>
  <c r="AN846"/>
  <c r="N847"/>
  <c r="AJ847" s="1"/>
  <c r="T847"/>
  <c r="AN847"/>
  <c r="AS847" s="1"/>
  <c r="AL847"/>
  <c r="N848"/>
  <c r="AJ848"/>
  <c r="T848"/>
  <c r="AL848"/>
  <c r="AR848" s="1"/>
  <c r="AM848"/>
  <c r="AN848"/>
  <c r="AH848"/>
  <c r="N849"/>
  <c r="AJ849" s="1"/>
  <c r="S849"/>
  <c r="AO849" s="1"/>
  <c r="T849"/>
  <c r="AN849"/>
  <c r="AG849"/>
  <c r="AH849"/>
  <c r="N850"/>
  <c r="AJ850"/>
  <c r="S850"/>
  <c r="T850"/>
  <c r="AM850"/>
  <c r="AN850"/>
  <c r="AG850"/>
  <c r="AH850"/>
  <c r="N851"/>
  <c r="AJ851"/>
  <c r="S851"/>
  <c r="T851"/>
  <c r="AR851"/>
  <c r="AN851"/>
  <c r="AG851"/>
  <c r="AH851"/>
  <c r="N852"/>
  <c r="AJ852"/>
  <c r="S852"/>
  <c r="T852"/>
  <c r="AM852"/>
  <c r="AN852"/>
  <c r="AG852"/>
  <c r="AH852"/>
  <c r="N853"/>
  <c r="AJ853"/>
  <c r="S853"/>
  <c r="T853"/>
  <c r="AP853" s="1"/>
  <c r="AR853"/>
  <c r="AG853"/>
  <c r="AH853"/>
  <c r="AN853"/>
  <c r="N854"/>
  <c r="AJ854"/>
  <c r="S854"/>
  <c r="T854"/>
  <c r="AM854"/>
  <c r="AN854"/>
  <c r="AG854"/>
  <c r="AH854"/>
  <c r="N855"/>
  <c r="AJ855"/>
  <c r="S855"/>
  <c r="T855"/>
  <c r="AN855"/>
  <c r="AG855"/>
  <c r="AH855"/>
  <c r="N856"/>
  <c r="AJ856" s="1"/>
  <c r="S856"/>
  <c r="T856"/>
  <c r="AM856"/>
  <c r="AN856"/>
  <c r="AG856"/>
  <c r="AH856"/>
  <c r="N857"/>
  <c r="AJ857" s="1"/>
  <c r="S857"/>
  <c r="T857"/>
  <c r="AR857"/>
  <c r="AN857"/>
  <c r="AG857"/>
  <c r="AH857"/>
  <c r="N858"/>
  <c r="AJ858" s="1"/>
  <c r="AM858"/>
  <c r="AN858"/>
  <c r="N859"/>
  <c r="AJ859" s="1"/>
  <c r="AK859"/>
  <c r="AR859" s="1"/>
  <c r="AN859"/>
  <c r="N860"/>
  <c r="AJ860" s="1"/>
  <c r="AM860"/>
  <c r="AN860"/>
  <c r="N861"/>
  <c r="AJ861" s="1"/>
  <c r="AN861"/>
  <c r="AS861" s="1"/>
  <c r="AK861"/>
  <c r="N862"/>
  <c r="AJ862" s="1"/>
  <c r="AM862"/>
  <c r="AN862"/>
  <c r="N863"/>
  <c r="AJ863" s="1"/>
  <c r="AK863"/>
  <c r="AR863" s="1"/>
  <c r="AN863"/>
  <c r="AS863"/>
  <c r="N864"/>
  <c r="AJ864"/>
  <c r="AM864"/>
  <c r="AN864"/>
  <c r="AS864" s="1"/>
  <c r="N865"/>
  <c r="AJ865"/>
  <c r="AK865"/>
  <c r="AN865"/>
  <c r="N866"/>
  <c r="AJ866"/>
  <c r="AN866"/>
  <c r="N867"/>
  <c r="AJ867" s="1"/>
  <c r="AN867"/>
  <c r="N868"/>
  <c r="AJ868"/>
  <c r="T868"/>
  <c r="AM868"/>
  <c r="AN868"/>
  <c r="AH868"/>
  <c r="N869"/>
  <c r="AJ869"/>
  <c r="T869"/>
  <c r="AL869"/>
  <c r="AR869" s="1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M872"/>
  <c r="AN872"/>
  <c r="AH872"/>
  <c r="N873"/>
  <c r="AJ873"/>
  <c r="T873"/>
  <c r="AP873" s="1"/>
  <c r="AL873"/>
  <c r="AR873" s="1"/>
  <c r="AN873"/>
  <c r="N874"/>
  <c r="AJ874"/>
  <c r="T874"/>
  <c r="AL874"/>
  <c r="AR874" s="1"/>
  <c r="AM874"/>
  <c r="AN874"/>
  <c r="AH874"/>
  <c r="AH888" s="1"/>
  <c r="AH894" s="1"/>
  <c r="AH4" s="1"/>
  <c r="N875"/>
  <c r="AJ875"/>
  <c r="T875"/>
  <c r="AL875"/>
  <c r="AR875" s="1"/>
  <c r="AN875"/>
  <c r="AH875"/>
  <c r="N876"/>
  <c r="AJ876" s="1"/>
  <c r="S876"/>
  <c r="T876"/>
  <c r="AM876"/>
  <c r="AN876"/>
  <c r="AG876"/>
  <c r="AH876"/>
  <c r="N877"/>
  <c r="AJ877" s="1"/>
  <c r="S877"/>
  <c r="T877"/>
  <c r="AR877"/>
  <c r="AN877"/>
  <c r="AG877"/>
  <c r="AH877"/>
  <c r="N878"/>
  <c r="AJ878" s="1"/>
  <c r="S878"/>
  <c r="T878"/>
  <c r="AM878"/>
  <c r="AN878"/>
  <c r="AG878"/>
  <c r="AH878"/>
  <c r="N879"/>
  <c r="AJ879" s="1"/>
  <c r="S879"/>
  <c r="AO879" s="1"/>
  <c r="T879"/>
  <c r="AN879"/>
  <c r="AG879"/>
  <c r="AH879"/>
  <c r="N880"/>
  <c r="AJ880"/>
  <c r="S880"/>
  <c r="T880"/>
  <c r="AM880"/>
  <c r="AN880"/>
  <c r="AG880"/>
  <c r="AH880"/>
  <c r="N881"/>
  <c r="AJ881"/>
  <c r="S881"/>
  <c r="T881"/>
  <c r="AN881"/>
  <c r="AG881"/>
  <c r="AH881"/>
  <c r="N882"/>
  <c r="AJ882" s="1"/>
  <c r="S882"/>
  <c r="T882"/>
  <c r="AM882"/>
  <c r="AN882"/>
  <c r="AG882"/>
  <c r="AH882"/>
  <c r="N883"/>
  <c r="AJ883" s="1"/>
  <c r="S883"/>
  <c r="T883"/>
  <c r="AR883"/>
  <c r="AN883"/>
  <c r="AG883"/>
  <c r="AH883"/>
  <c r="N884"/>
  <c r="AJ884" s="1"/>
  <c r="AM884"/>
  <c r="AN884"/>
  <c r="N885"/>
  <c r="T885"/>
  <c r="AN885"/>
  <c r="AH885"/>
  <c r="AJ885"/>
  <c r="N886"/>
  <c r="T886"/>
  <c r="AL886"/>
  <c r="AR886" s="1"/>
  <c r="AM886"/>
  <c r="AN886"/>
  <c r="AH886"/>
  <c r="AJ886"/>
  <c r="N887"/>
  <c r="AJ887" s="1"/>
  <c r="AK887"/>
  <c r="AR887" s="1"/>
  <c r="AN887"/>
  <c r="O888"/>
  <c r="P888"/>
  <c r="Q888"/>
  <c r="R888"/>
  <c r="AC888"/>
  <c r="AD888"/>
  <c r="AE888"/>
  <c r="AF888"/>
  <c r="AF894"/>
  <c r="AF4" s="1"/>
  <c r="AJ888"/>
  <c r="AJ890"/>
  <c r="P898"/>
  <c r="AD898"/>
  <c r="P899"/>
  <c r="AD899"/>
  <c r="P901"/>
  <c r="V901"/>
  <c r="AC901"/>
  <c r="AK901" s="1"/>
  <c r="Z901"/>
  <c r="AG901" s="1"/>
  <c r="AO901" s="1"/>
  <c r="AD901"/>
  <c r="AH901"/>
  <c r="P902"/>
  <c r="V902"/>
  <c r="AC902" s="1"/>
  <c r="AK902" s="1"/>
  <c r="Z902"/>
  <c r="AG902"/>
  <c r="AO902" s="1"/>
  <c r="AD902"/>
  <c r="AH902"/>
  <c r="P904"/>
  <c r="T904"/>
  <c r="T905"/>
  <c r="V904"/>
  <c r="AC904"/>
  <c r="AK904" s="1"/>
  <c r="Z904"/>
  <c r="AG904" s="1"/>
  <c r="AO904" s="1"/>
  <c r="AD904"/>
  <c r="P905"/>
  <c r="V905"/>
  <c r="AC905"/>
  <c r="AK905" s="1"/>
  <c r="Z905"/>
  <c r="AG905" s="1"/>
  <c r="AO905" s="1"/>
  <c r="AD905"/>
  <c r="AH905"/>
  <c r="P907"/>
  <c r="V907"/>
  <c r="AC907" s="1"/>
  <c r="AK907" s="1"/>
  <c r="Z907"/>
  <c r="AD907"/>
  <c r="AG907"/>
  <c r="AO907"/>
  <c r="AH907"/>
  <c r="P908"/>
  <c r="V908"/>
  <c r="AC908"/>
  <c r="AK908" s="1"/>
  <c r="Z908"/>
  <c r="AG908" s="1"/>
  <c r="AO908" s="1"/>
  <c r="AD908"/>
  <c r="AH908"/>
  <c r="V910"/>
  <c r="AC910" s="1"/>
  <c r="AK910" s="1"/>
  <c r="Z910"/>
  <c r="AG910" s="1"/>
  <c r="AO910" s="1"/>
  <c r="P911"/>
  <c r="V911"/>
  <c r="AC911" s="1"/>
  <c r="AK911" s="1"/>
  <c r="Z911"/>
  <c r="AG911"/>
  <c r="AO911" s="1"/>
  <c r="K23" i="4"/>
  <c r="G61"/>
  <c r="H10"/>
  <c r="H61" s="1"/>
  <c r="M9"/>
  <c r="M60" s="1"/>
  <c r="J60"/>
  <c r="E61"/>
  <c r="E104"/>
  <c r="E30"/>
  <c r="H60" i="8"/>
  <c r="N9" i="4"/>
  <c r="N60"/>
  <c r="K60"/>
  <c r="G10" i="29"/>
  <c r="H10" s="1"/>
  <c r="J10" s="1"/>
  <c r="K10" s="1"/>
  <c r="M10" s="1"/>
  <c r="N10" s="1"/>
  <c r="AL845" i="1"/>
  <c r="AR845" s="1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0" i="26"/>
  <c r="R13" s="1"/>
  <c r="R894"/>
  <c r="R4" s="1"/>
  <c r="T888"/>
  <c r="O890"/>
  <c r="O13" s="1"/>
  <c r="P892"/>
  <c r="P2" s="1"/>
  <c r="AL217" i="1"/>
  <c r="AL198"/>
  <c r="AR198" s="1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AR659" i="1"/>
  <c r="AR638"/>
  <c r="AL120"/>
  <c r="AL67"/>
  <c r="AR67" s="1"/>
  <c r="AL56"/>
  <c r="AR817"/>
  <c r="AR802"/>
  <c r="AR703"/>
  <c r="AR697"/>
  <c r="AR696"/>
  <c r="AR626"/>
  <c r="AR621"/>
  <c r="AR598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 s="1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 s="1"/>
  <c r="AL365"/>
  <c r="AR365" s="1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R270" s="1"/>
  <c r="AL211"/>
  <c r="AL207"/>
  <c r="AL203"/>
  <c r="AL199"/>
  <c r="AL193"/>
  <c r="AL182"/>
  <c r="AR63"/>
  <c r="AL60"/>
  <c r="AR58"/>
  <c r="G82" i="7"/>
  <c r="G39" s="1"/>
  <c r="AL842" i="1"/>
  <c r="AR842" s="1"/>
  <c r="AN579"/>
  <c r="AN575"/>
  <c r="AN573"/>
  <c r="AM571"/>
  <c r="AL367"/>
  <c r="AR367" s="1"/>
  <c r="AR361"/>
  <c r="AR353"/>
  <c r="AK345"/>
  <c r="AR345" s="1"/>
  <c r="AR335"/>
  <c r="AL328"/>
  <c r="AK327"/>
  <c r="AL322"/>
  <c r="AR322" s="1"/>
  <c r="AK320"/>
  <c r="AK318"/>
  <c r="AR318" s="1"/>
  <c r="AK316"/>
  <c r="AR316" s="1"/>
  <c r="AR315"/>
  <c r="AK314"/>
  <c r="AR314" s="1"/>
  <c r="AR313"/>
  <c r="AK312"/>
  <c r="AR312" s="1"/>
  <c r="AK308"/>
  <c r="AK306"/>
  <c r="AK304"/>
  <c r="AR303"/>
  <c r="AK302"/>
  <c r="AK300"/>
  <c r="AR300" s="1"/>
  <c r="AK298"/>
  <c r="AR298" s="1"/>
  <c r="AK296"/>
  <c r="AK294"/>
  <c r="AR294" s="1"/>
  <c r="AK275"/>
  <c r="AK268"/>
  <c r="AR268" s="1"/>
  <c r="AL267"/>
  <c r="AR267" s="1"/>
  <c r="AL263"/>
  <c r="AR263" s="1"/>
  <c r="AL259"/>
  <c r="AL251"/>
  <c r="AR251" s="1"/>
  <c r="AK250"/>
  <c r="AR250" s="1"/>
  <c r="AK248"/>
  <c r="AR248" s="1"/>
  <c r="AR247"/>
  <c r="AK246"/>
  <c r="AR246" s="1"/>
  <c r="AK240"/>
  <c r="AR240" s="1"/>
  <c r="AL235"/>
  <c r="AL227"/>
  <c r="AL218"/>
  <c r="AL210"/>
  <c r="AL206"/>
  <c r="AL202"/>
  <c r="AK196"/>
  <c r="AR196" s="1"/>
  <c r="AR159"/>
  <c r="AL885"/>
  <c r="AR885" s="1"/>
  <c r="AR881"/>
  <c r="AR879"/>
  <c r="AL870"/>
  <c r="AR870" s="1"/>
  <c r="AL868"/>
  <c r="AR868" s="1"/>
  <c r="AR849"/>
  <c r="AK841"/>
  <c r="AR841" s="1"/>
  <c r="AK839"/>
  <c r="AR839" s="1"/>
  <c r="AK837"/>
  <c r="AR837" s="1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 s="1"/>
  <c r="AK362"/>
  <c r="AR362" s="1"/>
  <c r="AK360"/>
  <c r="AK358"/>
  <c r="AR358"/>
  <c r="AK356"/>
  <c r="AK354"/>
  <c r="AK352"/>
  <c r="AR352"/>
  <c r="AK350"/>
  <c r="AK346"/>
  <c r="AR346" s="1"/>
  <c r="AL344"/>
  <c r="AR343"/>
  <c r="AK337"/>
  <c r="AK334"/>
  <c r="AR334" s="1"/>
  <c r="AK332"/>
  <c r="AR332" s="1"/>
  <c r="AL330"/>
  <c r="AR330" s="1"/>
  <c r="AK329"/>
  <c r="AK326"/>
  <c r="AR326" s="1"/>
  <c r="AK288"/>
  <c r="AR288" s="1"/>
  <c r="AL280"/>
  <c r="AR280" s="1"/>
  <c r="AL276"/>
  <c r="AR276" s="1"/>
  <c r="AL272"/>
  <c r="AR272" s="1"/>
  <c r="AR258"/>
  <c r="AK217"/>
  <c r="AK209"/>
  <c r="AR209" s="1"/>
  <c r="AK205"/>
  <c r="AR205" s="1"/>
  <c r="AK201"/>
  <c r="AR201" s="1"/>
  <c r="AR855"/>
  <c r="AR668"/>
  <c r="G76" i="7"/>
  <c r="H37" i="4" s="1"/>
  <c r="AL282" i="1"/>
  <c r="AR282" s="1"/>
  <c r="AK281"/>
  <c r="AR281" s="1"/>
  <c r="AL278"/>
  <c r="AK277"/>
  <c r="AL274"/>
  <c r="AR274" s="1"/>
  <c r="AK273"/>
  <c r="AR273" s="1"/>
  <c r="AL265"/>
  <c r="AR265" s="1"/>
  <c r="AL261"/>
  <c r="AL257"/>
  <c r="AR257" s="1"/>
  <c r="AR253"/>
  <c r="AR243"/>
  <c r="AL237"/>
  <c r="AL233"/>
  <c r="AR233" s="1"/>
  <c r="AL225"/>
  <c r="AR225" s="1"/>
  <c r="AR221"/>
  <c r="AL216"/>
  <c r="AL212"/>
  <c r="AL208"/>
  <c r="AK207"/>
  <c r="AL204"/>
  <c r="H81" i="4"/>
  <c r="AL200" i="1"/>
  <c r="AL195"/>
  <c r="AR195" s="1"/>
  <c r="AR161"/>
  <c r="H31" i="4"/>
  <c r="H31" i="8" s="1"/>
  <c r="H86" i="4"/>
  <c r="H86" i="8" s="1"/>
  <c r="AK193" i="1"/>
  <c r="AK191"/>
  <c r="AL184"/>
  <c r="AR184"/>
  <c r="AL181"/>
  <c r="AK180"/>
  <c r="AR180" s="1"/>
  <c r="AK176"/>
  <c r="AL183"/>
  <c r="AK182"/>
  <c r="AL179"/>
  <c r="AK178"/>
  <c r="AL174"/>
  <c r="AR174" s="1"/>
  <c r="AR172"/>
  <c r="AS163"/>
  <c r="AK160"/>
  <c r="AS159"/>
  <c r="AR158"/>
  <c r="AS157"/>
  <c r="AR156"/>
  <c r="AS155"/>
  <c r="AR152"/>
  <c r="H78" i="4"/>
  <c r="H78" i="8" s="1"/>
  <c r="AL150" i="1"/>
  <c r="AR150" s="1"/>
  <c r="AL146"/>
  <c r="AR146" s="1"/>
  <c r="AL142"/>
  <c r="AR142" s="1"/>
  <c r="AL140"/>
  <c r="AR140" s="1"/>
  <c r="AL132"/>
  <c r="AR132" s="1"/>
  <c r="AL130"/>
  <c r="AR130" s="1"/>
  <c r="AL128"/>
  <c r="AR128" s="1"/>
  <c r="AR126"/>
  <c r="AL122"/>
  <c r="AR122" s="1"/>
  <c r="AL121"/>
  <c r="AR121" s="1"/>
  <c r="H85" i="4"/>
  <c r="H85" i="8" s="1"/>
  <c r="N85" s="1"/>
  <c r="H80" i="4"/>
  <c r="AR115" i="1"/>
  <c r="AR87"/>
  <c r="AL66"/>
  <c r="AL64"/>
  <c r="AR62"/>
  <c r="AL61"/>
  <c r="AL59"/>
  <c r="AR59" s="1"/>
  <c r="AL57"/>
  <c r="AL908" s="1"/>
  <c r="AR101"/>
  <c r="AL26"/>
  <c r="AR26" s="1"/>
  <c r="AL19"/>
  <c r="AR19" s="1"/>
  <c r="H17" i="4"/>
  <c r="H17" i="8" s="1"/>
  <c r="N17" s="1"/>
  <c r="H13" i="4"/>
  <c r="H13" i="8" s="1"/>
  <c r="AL25" i="1"/>
  <c r="AL14"/>
  <c r="P894" i="26"/>
  <c r="P4" s="1"/>
  <c r="S888"/>
  <c r="AM804" i="1"/>
  <c r="AN802"/>
  <c r="AM801"/>
  <c r="AN800"/>
  <c r="AM799"/>
  <c r="AN827"/>
  <c r="AN826"/>
  <c r="AM825"/>
  <c r="AN824"/>
  <c r="AM823"/>
  <c r="AM820"/>
  <c r="AN818"/>
  <c r="AM817"/>
  <c r="AN816"/>
  <c r="AM815"/>
  <c r="AM814"/>
  <c r="AN810"/>
  <c r="AM809"/>
  <c r="AM807"/>
  <c r="AM798"/>
  <c r="AN769"/>
  <c r="AN767"/>
  <c r="AN766"/>
  <c r="AM765"/>
  <c r="AN764"/>
  <c r="AM763"/>
  <c r="AN797"/>
  <c r="AM796"/>
  <c r="AN794"/>
  <c r="AM793"/>
  <c r="AN792"/>
  <c r="AM791"/>
  <c r="AM788"/>
  <c r="AN786"/>
  <c r="AM785"/>
  <c r="AN784"/>
  <c r="AM783"/>
  <c r="AN781"/>
  <c r="AN778"/>
  <c r="AM777"/>
  <c r="AN774"/>
  <c r="AM773"/>
  <c r="AN772"/>
  <c r="AM771"/>
  <c r="AS771" s="1"/>
  <c r="AM760"/>
  <c r="AN758"/>
  <c r="AM757"/>
  <c r="AN756"/>
  <c r="AM755"/>
  <c r="AS755" s="1"/>
  <c r="AM752"/>
  <c r="AN751"/>
  <c r="AM750"/>
  <c r="AM747"/>
  <c r="AN746"/>
  <c r="AM742"/>
  <c r="AS742" s="1"/>
  <c r="AM740"/>
  <c r="AM739"/>
  <c r="AM737"/>
  <c r="AN736"/>
  <c r="AN735"/>
  <c r="AM73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 s="1"/>
  <c r="AN672"/>
  <c r="AM671"/>
  <c r="AM670"/>
  <c r="AM669"/>
  <c r="AN661"/>
  <c r="AN653"/>
  <c r="AN626"/>
  <c r="AN624"/>
  <c r="AN623"/>
  <c r="AN621"/>
  <c r="AN606"/>
  <c r="AN602"/>
  <c r="AM666"/>
  <c r="AN665"/>
  <c r="AN664"/>
  <c r="AM663"/>
  <c r="AS663" s="1"/>
  <c r="AN662"/>
  <c r="AM661"/>
  <c r="AM660"/>
  <c r="AN659"/>
  <c r="AM658"/>
  <c r="AN657"/>
  <c r="AN656"/>
  <c r="AM655"/>
  <c r="AN654"/>
  <c r="AM653"/>
  <c r="AM652"/>
  <c r="AN651"/>
  <c r="AM650"/>
  <c r="AN649"/>
  <c r="AN648"/>
  <c r="AM647"/>
  <c r="AN646"/>
  <c r="AM645"/>
  <c r="AM644"/>
  <c r="AN643"/>
  <c r="AM642"/>
  <c r="AS642" s="1"/>
  <c r="AM639"/>
  <c r="AN638"/>
  <c r="AM637"/>
  <c r="AM635"/>
  <c r="AN631"/>
  <c r="AM630"/>
  <c r="AS630" s="1"/>
  <c r="AN629"/>
  <c r="AM628"/>
  <c r="AS628" s="1"/>
  <c r="AN627"/>
  <c r="AS627" s="1"/>
  <c r="AN625"/>
  <c r="AM624"/>
  <c r="AM623"/>
  <c r="AS623" s="1"/>
  <c r="AN622"/>
  <c r="AM621"/>
  <c r="AN620"/>
  <c r="AM619"/>
  <c r="AN618"/>
  <c r="AN617"/>
  <c r="AM616"/>
  <c r="AN615"/>
  <c r="AS615" s="1"/>
  <c r="AM614"/>
  <c r="AN613"/>
  <c r="AS613" s="1"/>
  <c r="AM612"/>
  <c r="AN611"/>
  <c r="AM610"/>
  <c r="AN609"/>
  <c r="AN607"/>
  <c r="AM606"/>
  <c r="AS606" s="1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11"/>
  <c r="AN509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S451" s="1"/>
  <c r="AN450"/>
  <c r="AM449"/>
  <c r="AM445"/>
  <c r="AS445" s="1"/>
  <c r="AN435"/>
  <c r="AS435" s="1"/>
  <c r="AN433"/>
  <c r="AN432"/>
  <c r="AM431"/>
  <c r="AN430"/>
  <c r="AM429"/>
  <c r="AS429" s="1"/>
  <c r="AN427"/>
  <c r="AN425"/>
  <c r="AN424"/>
  <c r="AM423"/>
  <c r="AN422"/>
  <c r="AM421"/>
  <c r="AN419"/>
  <c r="AN417"/>
  <c r="AN414"/>
  <c r="AM413"/>
  <c r="AN411"/>
  <c r="AM401"/>
  <c r="AN400"/>
  <c r="AM399"/>
  <c r="AS399" s="1"/>
  <c r="AN394"/>
  <c r="AN389"/>
  <c r="AN387"/>
  <c r="AN386"/>
  <c r="AN384"/>
  <c r="AR17"/>
  <c r="N552" i="26"/>
  <c r="AA901" i="1"/>
  <c r="AR381"/>
  <c r="AR302"/>
  <c r="AR237"/>
  <c r="AR348"/>
  <c r="AR350"/>
  <c r="AR296"/>
  <c r="AR308"/>
  <c r="AR320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 s="1"/>
  <c r="N197" s="1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6"/>
  <c r="AA262"/>
  <c r="AA258"/>
  <c r="AA254"/>
  <c r="AA245"/>
  <c r="AA239"/>
  <c r="AA233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 s="1"/>
  <c r="AR342" i="1"/>
  <c r="AR331"/>
  <c r="AS323"/>
  <c r="AR297"/>
  <c r="AR230"/>
  <c r="AR374"/>
  <c r="AR355"/>
  <c r="J101" i="29"/>
  <c r="J101" i="30" s="1"/>
  <c r="D92" i="29"/>
  <c r="D92" i="30" s="1"/>
  <c r="J25" i="29"/>
  <c r="J25" i="30" s="1"/>
  <c r="J50" i="29"/>
  <c r="J50" i="30" s="1"/>
  <c r="J57" i="29"/>
  <c r="J57" i="30" s="1"/>
  <c r="J44" i="29"/>
  <c r="J44" i="30" s="1"/>
  <c r="J32" i="4"/>
  <c r="J32" i="8" s="1"/>
  <c r="AM866" i="1"/>
  <c r="J69" i="29"/>
  <c r="J69" i="30" s="1"/>
  <c r="J60" i="29"/>
  <c r="J60" i="30" s="1"/>
  <c r="AR434" i="1"/>
  <c r="AR432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 s="1"/>
  <c r="N553" s="1"/>
  <c r="AJ553" s="1"/>
  <c r="AR548"/>
  <c r="D65" i="29"/>
  <c r="D65" i="30" s="1"/>
  <c r="AR468" i="1"/>
  <c r="J47" i="29"/>
  <c r="J47" i="30" s="1"/>
  <c r="D32" i="4"/>
  <c r="D32" i="8" s="1"/>
  <c r="J31" i="4"/>
  <c r="J31" i="8" s="1"/>
  <c r="E34" i="4"/>
  <c r="D55"/>
  <c r="J99" i="29"/>
  <c r="J99" i="30" s="1"/>
  <c r="J93" i="29"/>
  <c r="J93" i="30" s="1"/>
  <c r="J17" i="29"/>
  <c r="J17" i="30" s="1"/>
  <c r="J26" i="29"/>
  <c r="J26" i="30" s="1"/>
  <c r="D26" i="29"/>
  <c r="D26" i="30" s="1"/>
  <c r="D106" i="29"/>
  <c r="D106" i="30" s="1"/>
  <c r="D105" i="29"/>
  <c r="D105" i="30" s="1"/>
  <c r="J49" i="29"/>
  <c r="J49" i="30" s="1"/>
  <c r="J48" i="29"/>
  <c r="J48" i="30" s="1"/>
  <c r="J80" i="4"/>
  <c r="J80" i="8" s="1"/>
  <c r="J81" i="4"/>
  <c r="J78"/>
  <c r="J78" i="8" s="1"/>
  <c r="J13" i="4"/>
  <c r="J13" i="8" s="1"/>
  <c r="J15" i="29"/>
  <c r="J15" i="30" s="1"/>
  <c r="J108" i="29"/>
  <c r="D107"/>
  <c r="D107" i="30" s="1"/>
  <c r="J83" i="29"/>
  <c r="J83" i="30" s="1"/>
  <c r="J85" s="1"/>
  <c r="J55" i="29"/>
  <c r="J55" i="30" s="1"/>
  <c r="J46" i="29"/>
  <c r="J46" i="30" s="1"/>
  <c r="J48" i="4"/>
  <c r="J48" i="8" s="1"/>
  <c r="D85" i="4"/>
  <c r="D85" i="8" s="1"/>
  <c r="D24" i="4"/>
  <c r="D24" i="8" s="1"/>
  <c r="D14" i="4"/>
  <c r="D14" i="8" s="1"/>
  <c r="J16" i="29"/>
  <c r="J16" i="30"/>
  <c r="D14" i="29"/>
  <c r="D14" i="30" s="1"/>
  <c r="J107" i="29"/>
  <c r="J107" i="30" s="1"/>
  <c r="D60" i="29"/>
  <c r="D60" i="30" s="1"/>
  <c r="D50" i="29"/>
  <c r="D50" i="30" s="1"/>
  <c r="J56" i="29"/>
  <c r="J56" i="30"/>
  <c r="AR151" i="1"/>
  <c r="J24" i="4"/>
  <c r="J24" i="8" s="1"/>
  <c r="D16" i="4"/>
  <c r="D16" i="8" s="1"/>
  <c r="D64" i="4"/>
  <c r="D64" i="8" s="1"/>
  <c r="E82" i="7"/>
  <c r="E39" s="1"/>
  <c r="T888" i="20"/>
  <c r="R894" i="25"/>
  <c r="R4" s="1"/>
  <c r="P892" i="27"/>
  <c r="P2" s="1"/>
  <c r="D79" i="4"/>
  <c r="D79" i="8" s="1"/>
  <c r="S888" i="20"/>
  <c r="H60" i="4"/>
  <c r="D34" i="29"/>
  <c r="D34" i="30"/>
  <c r="J45" i="29"/>
  <c r="J45" i="30" s="1"/>
  <c r="K52" i="29"/>
  <c r="K52" i="30" s="1"/>
  <c r="N52" s="1"/>
  <c r="K46" i="29"/>
  <c r="K46" i="30" s="1"/>
  <c r="S464" i="31"/>
  <c r="E90" i="29"/>
  <c r="N559" i="27"/>
  <c r="N558"/>
  <c r="N559" i="26"/>
  <c r="N558"/>
  <c r="N559" i="25"/>
  <c r="N558"/>
  <c r="N559" i="20"/>
  <c r="N558"/>
  <c r="K104" i="4"/>
  <c r="K101"/>
  <c r="K47"/>
  <c r="K84"/>
  <c r="K93"/>
  <c r="E84" i="8"/>
  <c r="E23" i="4"/>
  <c r="A2" i="29"/>
  <c r="N63" i="4"/>
  <c r="AR872" i="1"/>
  <c r="AR186"/>
  <c r="AS618"/>
  <c r="AR354"/>
  <c r="W888"/>
  <c r="AR227"/>
  <c r="AS804"/>
  <c r="AR360"/>
  <c r="AR57"/>
  <c r="AR175"/>
  <c r="AR206"/>
  <c r="AR259"/>
  <c r="AR366"/>
  <c r="AS858"/>
  <c r="AS818"/>
  <c r="AR249"/>
  <c r="AS403"/>
  <c r="AN833"/>
  <c r="AR472"/>
  <c r="AR406"/>
  <c r="AR386"/>
  <c r="J36" i="29"/>
  <c r="J36" i="30" s="1"/>
  <c r="D36" i="29"/>
  <c r="D36" i="30" s="1"/>
  <c r="AR433" i="1"/>
  <c r="AR222"/>
  <c r="P73" i="33"/>
  <c r="O68"/>
  <c r="AK210" i="1"/>
  <c r="AR210" s="1"/>
  <c r="O80" i="33"/>
  <c r="P66" i="35"/>
  <c r="AL176" i="1"/>
  <c r="D25" i="4"/>
  <c r="D25" i="8" s="1"/>
  <c r="O76" i="33"/>
  <c r="O75"/>
  <c r="P70"/>
  <c r="O69"/>
  <c r="P66"/>
  <c r="R65"/>
  <c r="P894" i="25"/>
  <c r="P4" s="1"/>
  <c r="T907" i="27"/>
  <c r="AL224" i="1"/>
  <c r="AR224" s="1"/>
  <c r="O73" i="33"/>
  <c r="O70"/>
  <c r="P39" i="35"/>
  <c r="AL190" i="1"/>
  <c r="O66" i="33"/>
  <c r="AK179" i="1"/>
  <c r="AR179" s="1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894" s="1"/>
  <c r="T4" s="1"/>
  <c r="T911" i="27"/>
  <c r="T910"/>
  <c r="D35" i="29"/>
  <c r="D35" i="30" s="1"/>
  <c r="D45" i="29"/>
  <c r="D45" i="30" s="1"/>
  <c r="D84" i="29"/>
  <c r="D84" i="30" s="1"/>
  <c r="J35" i="29"/>
  <c r="J35" i="30" s="1"/>
  <c r="P77" i="33"/>
  <c r="P74"/>
  <c r="AR190" i="1"/>
  <c r="S32" i="33"/>
  <c r="S34"/>
  <c r="S4" s="1"/>
  <c r="P32"/>
  <c r="P34"/>
  <c r="N56" i="7"/>
  <c r="J76"/>
  <c r="J11" s="1"/>
  <c r="G11"/>
  <c r="D82"/>
  <c r="M43"/>
  <c r="N552" i="1"/>
  <c r="AJ552" s="1"/>
  <c r="N196" i="31"/>
  <c r="AS757" i="1"/>
  <c r="AS878"/>
  <c r="AS725"/>
  <c r="AS666"/>
  <c r="AS713"/>
  <c r="AS639"/>
  <c r="AS764"/>
  <c r="AS796"/>
  <c r="AK846"/>
  <c r="AR846" s="1"/>
  <c r="AG888"/>
  <c r="AS769"/>
  <c r="AR306"/>
  <c r="AR241"/>
  <c r="J10" i="4"/>
  <c r="J61" s="1"/>
  <c r="J100" i="29"/>
  <c r="J100" i="30" s="1"/>
  <c r="AR807" i="1"/>
  <c r="H92" i="4"/>
  <c r="P894" i="1"/>
  <c r="P4" s="1"/>
  <c r="S888"/>
  <c r="AR204"/>
  <c r="AS616"/>
  <c r="AR847"/>
  <c r="A558"/>
  <c r="N558"/>
  <c r="AJ558" s="1"/>
  <c r="AR502"/>
  <c r="AS293"/>
  <c r="AS179"/>
  <c r="D47" i="29"/>
  <c r="D47" i="30" s="1"/>
  <c r="AR402" i="1"/>
  <c r="G80" i="7"/>
  <c r="K80"/>
  <c r="K23" s="1"/>
  <c r="E80"/>
  <c r="E23" s="1"/>
  <c r="J85" i="4"/>
  <c r="J85" i="8" s="1"/>
  <c r="S65" i="33"/>
  <c r="R894" i="20"/>
  <c r="R4" s="1"/>
  <c r="T904" i="25"/>
  <c r="R892" i="26"/>
  <c r="R2" s="1"/>
  <c r="O890" i="27"/>
  <c r="O13" s="1"/>
  <c r="U462" i="31"/>
  <c r="V462"/>
  <c r="AA281"/>
  <c r="J20" i="29"/>
  <c r="D20"/>
  <c r="N20"/>
  <c r="AS822" i="1"/>
  <c r="AS794"/>
  <c r="AS783"/>
  <c r="AS747"/>
  <c r="AS795"/>
  <c r="AS813"/>
  <c r="AS851"/>
  <c r="AS857"/>
  <c r="AR864"/>
  <c r="AR866"/>
  <c r="G55" i="4"/>
  <c r="G55" i="8" s="1"/>
  <c r="AK832" i="1"/>
  <c r="AR832"/>
  <c r="V888"/>
  <c r="H55" i="4"/>
  <c r="AT884" i="1"/>
  <c r="AR884"/>
  <c r="X888"/>
  <c r="AS853"/>
  <c r="AR835"/>
  <c r="AS843"/>
  <c r="AS876"/>
  <c r="AR838"/>
  <c r="AS880"/>
  <c r="AR865"/>
  <c r="AR861"/>
  <c r="AT861"/>
  <c r="AS814"/>
  <c r="AS817"/>
  <c r="AS797"/>
  <c r="AS650"/>
  <c r="AS658"/>
  <c r="AS661"/>
  <c r="AS621"/>
  <c r="AS488"/>
  <c r="AS467"/>
  <c r="AR291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277"/>
  <c r="AR197"/>
  <c r="AS142"/>
  <c r="AR117"/>
  <c r="AR123"/>
  <c r="AR129"/>
  <c r="AR131"/>
  <c r="AR137"/>
  <c r="AS160"/>
  <c r="AR262"/>
  <c r="AR200"/>
  <c r="AS282"/>
  <c r="AR145"/>
  <c r="AR155"/>
  <c r="AR167"/>
  <c r="AK149"/>
  <c r="AR157"/>
  <c r="AR236"/>
  <c r="AR235"/>
  <c r="AR103"/>
  <c r="AR107"/>
  <c r="AK109"/>
  <c r="AR109" s="1"/>
  <c r="H24" i="4"/>
  <c r="AR76" i="1"/>
  <c r="AR78"/>
  <c r="AR80"/>
  <c r="AR88"/>
  <c r="H14" i="4"/>
  <c r="H14" i="8" s="1"/>
  <c r="N14" s="1"/>
  <c r="H19" i="4"/>
  <c r="H19" i="8" s="1"/>
  <c r="N19" s="1"/>
  <c r="AK72" i="1"/>
  <c r="AR72" s="1"/>
  <c r="AR75"/>
  <c r="AK92"/>
  <c r="AK86"/>
  <c r="AR86" s="1"/>
  <c r="AR25"/>
  <c r="AR16"/>
  <c r="G88" i="7"/>
  <c r="AK60" i="1"/>
  <c r="AR60" s="1"/>
  <c r="W901"/>
  <c r="AL20"/>
  <c r="AL901"/>
  <c r="W902"/>
  <c r="H70" i="4"/>
  <c r="H70" i="8" s="1"/>
  <c r="N70" s="1"/>
  <c r="W904" i="1"/>
  <c r="AL905"/>
  <c r="W908"/>
  <c r="W907"/>
  <c r="AR68"/>
  <c r="AR18"/>
  <c r="AR20"/>
  <c r="AS624"/>
  <c r="AS807"/>
  <c r="AS773"/>
  <c r="AS792"/>
  <c r="AS653"/>
  <c r="D97" i="29"/>
  <c r="D97" i="30" s="1"/>
  <c r="AS802" i="1"/>
  <c r="AS551"/>
  <c r="D78" i="4"/>
  <c r="D78" i="8" s="1"/>
  <c r="AS60" i="1"/>
  <c r="D32" i="29"/>
  <c r="D32" i="30" s="1"/>
  <c r="AS788" i="1"/>
  <c r="AS681"/>
  <c r="AS671"/>
  <c r="AS659"/>
  <c r="D18" i="29"/>
  <c r="D18" i="30" s="1"/>
  <c r="AS603" i="1"/>
  <c r="D13" i="29"/>
  <c r="D13" i="30" s="1"/>
  <c r="D68" i="29"/>
  <c r="D68" i="30" s="1"/>
  <c r="D55" i="29"/>
  <c r="D55" i="30" s="1"/>
  <c r="D49" i="29"/>
  <c r="D49" i="30" s="1"/>
  <c r="D72" i="29"/>
  <c r="D72" i="30" s="1"/>
  <c r="AS411" i="1"/>
  <c r="AS367"/>
  <c r="AS349"/>
  <c r="D33" i="4"/>
  <c r="D33" i="8" s="1"/>
  <c r="D31" i="4"/>
  <c r="D31" i="8" s="1"/>
  <c r="AT301" i="1"/>
  <c r="D81" i="4"/>
  <c r="D48" i="29"/>
  <c r="D48" i="30" s="1"/>
  <c r="AS418" i="1"/>
  <c r="AS427"/>
  <c r="D69" i="29"/>
  <c r="D69" i="30" s="1"/>
  <c r="AS479" i="1"/>
  <c r="AS477"/>
  <c r="D56" i="29"/>
  <c r="D56" i="30" s="1"/>
  <c r="D44" i="29"/>
  <c r="D44" i="30" s="1"/>
  <c r="AS439" i="1"/>
  <c r="D46" i="29"/>
  <c r="D46" i="30" s="1"/>
  <c r="AS177" i="1"/>
  <c r="D80" i="4"/>
  <c r="D80" i="8" s="1"/>
  <c r="S70" i="33"/>
  <c r="AS135" i="1"/>
  <c r="AS143"/>
  <c r="AS131"/>
  <c r="AS78"/>
  <c r="T911"/>
  <c r="AT18"/>
  <c r="D89" i="29"/>
  <c r="D89" i="30" s="1"/>
  <c r="D80" i="29"/>
  <c r="D80" i="30" s="1"/>
  <c r="AS657" i="1"/>
  <c r="AS602"/>
  <c r="AS607"/>
  <c r="AS353"/>
  <c r="AS339"/>
  <c r="Q829"/>
  <c r="Q890" s="1"/>
  <c r="AS297"/>
  <c r="AS295"/>
  <c r="AS156"/>
  <c r="AS109"/>
  <c r="E88" i="7"/>
  <c r="AS18" i="1"/>
  <c r="D43" i="29"/>
  <c r="D43" i="30" s="1"/>
  <c r="T898" i="1"/>
  <c r="R829"/>
  <c r="R890" s="1"/>
  <c r="R13" s="1"/>
  <c r="D48" i="4"/>
  <c r="D48" i="8" s="1"/>
  <c r="D49" i="4"/>
  <c r="D49" i="8" s="1"/>
  <c r="D13" i="4"/>
  <c r="D13" i="8" s="1"/>
  <c r="D15" i="4"/>
  <c r="D15" i="8" s="1"/>
  <c r="AS15" i="1"/>
  <c r="T899"/>
  <c r="AS823"/>
  <c r="AM806"/>
  <c r="AS806"/>
  <c r="AM786"/>
  <c r="AS767"/>
  <c r="AM778"/>
  <c r="AN701"/>
  <c r="AN708"/>
  <c r="AN716"/>
  <c r="AN712"/>
  <c r="AN706"/>
  <c r="AS706" s="1"/>
  <c r="AN697"/>
  <c r="AN694"/>
  <c r="AS694" s="1"/>
  <c r="AM698"/>
  <c r="AM702"/>
  <c r="AS676"/>
  <c r="AS678"/>
  <c r="AS669"/>
  <c r="AN674"/>
  <c r="AM679"/>
  <c r="AN683"/>
  <c r="AS683" s="1"/>
  <c r="AN685"/>
  <c r="AM687"/>
  <c r="AM693"/>
  <c r="AM691"/>
  <c r="AN689"/>
  <c r="AS689" s="1"/>
  <c r="AN686"/>
  <c r="AS686" s="1"/>
  <c r="AN684"/>
  <c r="AS684" s="1"/>
  <c r="AM677"/>
  <c r="AS677" s="1"/>
  <c r="AM675"/>
  <c r="AN670"/>
  <c r="AM668"/>
  <c r="AM664"/>
  <c r="AN634"/>
  <c r="AN635"/>
  <c r="AS635" s="1"/>
  <c r="AM636"/>
  <c r="AS636" s="1"/>
  <c r="AM638"/>
  <c r="AS434"/>
  <c r="AM414"/>
  <c r="AM385"/>
  <c r="AN392"/>
  <c r="AN396"/>
  <c r="AM387"/>
  <c r="AT357"/>
  <c r="AM375"/>
  <c r="AN372"/>
  <c r="AN370"/>
  <c r="AN368"/>
  <c r="AN365"/>
  <c r="AN363"/>
  <c r="AS363" s="1"/>
  <c r="AM359"/>
  <c r="AM360"/>
  <c r="AM376"/>
  <c r="AS351"/>
  <c r="T898" i="20"/>
  <c r="T899"/>
  <c r="AM276" i="1"/>
  <c r="AS276" s="1"/>
  <c r="AM228"/>
  <c r="AM234"/>
  <c r="H44" i="4"/>
  <c r="H44" i="8" s="1"/>
  <c r="AN201" i="1"/>
  <c r="AM208"/>
  <c r="AM209"/>
  <c r="AS209" s="1"/>
  <c r="AN210"/>
  <c r="AM213"/>
  <c r="AS213" s="1"/>
  <c r="AN214"/>
  <c r="AM215"/>
  <c r="AN217"/>
  <c r="AN218"/>
  <c r="AN219"/>
  <c r="AS219" s="1"/>
  <c r="AN220"/>
  <c r="AN223"/>
  <c r="AM224"/>
  <c r="AM229"/>
  <c r="AS229" s="1"/>
  <c r="AN233"/>
  <c r="AM235"/>
  <c r="AN236"/>
  <c r="AM242"/>
  <c r="AS242" s="1"/>
  <c r="AN245"/>
  <c r="AN248"/>
  <c r="AN249"/>
  <c r="AM251"/>
  <c r="AN252"/>
  <c r="AN253"/>
  <c r="AS253" s="1"/>
  <c r="AN255"/>
  <c r="AS255" s="1"/>
  <c r="AN258"/>
  <c r="AM259"/>
  <c r="AM264"/>
  <c r="AN265"/>
  <c r="AM266"/>
  <c r="AM267"/>
  <c r="AS267" s="1"/>
  <c r="AM272"/>
  <c r="AN277"/>
  <c r="AT255"/>
  <c r="AM202"/>
  <c r="AS202" s="1"/>
  <c r="AM203"/>
  <c r="AN207"/>
  <c r="AM225"/>
  <c r="AM238"/>
  <c r="AM241"/>
  <c r="AM262"/>
  <c r="AM263"/>
  <c r="AM268"/>
  <c r="AN269"/>
  <c r="AN270"/>
  <c r="AM604"/>
  <c r="AM656"/>
  <c r="AM672"/>
  <c r="AM674"/>
  <c r="AM680"/>
  <c r="AM682"/>
  <c r="AM688"/>
  <c r="AM726"/>
  <c r="AM728"/>
  <c r="AM736"/>
  <c r="AS736" s="1"/>
  <c r="AS721"/>
  <c r="AM722"/>
  <c r="AN724"/>
  <c r="AN726"/>
  <c r="AM727"/>
  <c r="AN728"/>
  <c r="AN729"/>
  <c r="AS729" s="1"/>
  <c r="AN730"/>
  <c r="AM733"/>
  <c r="AM735"/>
  <c r="AN739"/>
  <c r="AN741"/>
  <c r="AM743"/>
  <c r="AM745"/>
  <c r="AS745" s="1"/>
  <c r="AS731"/>
  <c r="AM720"/>
  <c r="AS700"/>
  <c r="AM696"/>
  <c r="AM708"/>
  <c r="AS708" s="1"/>
  <c r="AM716"/>
  <c r="AM704"/>
  <c r="AM710"/>
  <c r="AS710" s="1"/>
  <c r="AS711"/>
  <c r="AM718"/>
  <c r="AM662"/>
  <c r="AS645"/>
  <c r="AN644"/>
  <c r="AN641"/>
  <c r="AS646"/>
  <c r="AM632"/>
  <c r="AM634"/>
  <c r="AM626"/>
  <c r="AS614"/>
  <c r="AN599"/>
  <c r="AM598"/>
  <c r="AM600"/>
  <c r="AM578"/>
  <c r="AM580"/>
  <c r="AM574"/>
  <c r="AM562"/>
  <c r="AM552"/>
  <c r="AM524"/>
  <c r="AM530"/>
  <c r="AS511"/>
  <c r="AN513"/>
  <c r="AS513" s="1"/>
  <c r="AN515"/>
  <c r="AS515" s="1"/>
  <c r="AM518"/>
  <c r="AM498"/>
  <c r="AM500"/>
  <c r="AM502"/>
  <c r="AM504"/>
  <c r="AS504" s="1"/>
  <c r="AM506"/>
  <c r="AS506" s="1"/>
  <c r="AM508"/>
  <c r="AS491"/>
  <c r="AS489"/>
  <c r="AN490"/>
  <c r="AN496"/>
  <c r="AM493"/>
  <c r="AS493" s="1"/>
  <c r="AM487"/>
  <c r="AM482"/>
  <c r="AM466"/>
  <c r="AM468"/>
  <c r="AS468" s="1"/>
  <c r="AM470"/>
  <c r="AM472"/>
  <c r="AM474"/>
  <c r="AS474" s="1"/>
  <c r="AS443"/>
  <c r="AM444"/>
  <c r="AM446"/>
  <c r="AM448"/>
  <c r="AS448" s="1"/>
  <c r="AM450"/>
  <c r="AM452"/>
  <c r="AS452" s="1"/>
  <c r="AM436"/>
  <c r="AS401"/>
  <c r="AM400"/>
  <c r="AM394"/>
  <c r="AM396"/>
  <c r="AS396" s="1"/>
  <c r="AM398"/>
  <c r="AS398" s="1"/>
  <c r="AM391"/>
  <c r="AM393"/>
  <c r="AM389"/>
  <c r="AN388"/>
  <c r="AS381"/>
  <c r="AS378"/>
  <c r="AN380"/>
  <c r="AM372"/>
  <c r="AM362"/>
  <c r="AM344"/>
  <c r="AS344" s="1"/>
  <c r="AM332"/>
  <c r="AM340"/>
  <c r="AS319"/>
  <c r="AS324"/>
  <c r="AT324"/>
  <c r="AS328"/>
  <c r="AS327"/>
  <c r="AN326"/>
  <c r="AS322"/>
  <c r="AN321"/>
  <c r="AN320"/>
  <c r="AM294"/>
  <c r="AS294" s="1"/>
  <c r="AM274"/>
  <c r="AM250"/>
  <c r="AT250"/>
  <c r="AM252"/>
  <c r="AS252" s="1"/>
  <c r="AM254"/>
  <c r="AM260"/>
  <c r="AM223"/>
  <c r="AN224"/>
  <c r="AM227"/>
  <c r="AM233"/>
  <c r="AN221"/>
  <c r="AS221" s="1"/>
  <c r="AM222"/>
  <c r="AM226"/>
  <c r="AM230"/>
  <c r="AM232"/>
  <c r="AN234"/>
  <c r="S75" i="33"/>
  <c r="S74"/>
  <c r="S72"/>
  <c r="R69"/>
  <c r="R68"/>
  <c r="AM218" i="1"/>
  <c r="G44" i="4"/>
  <c r="G44" i="8" s="1"/>
  <c r="AM196" i="1"/>
  <c r="AM204"/>
  <c r="G79" i="4"/>
  <c r="G79" i="8" s="1"/>
  <c r="S66" i="33"/>
  <c r="S39" i="35"/>
  <c r="R27"/>
  <c r="AM184" i="1"/>
  <c r="AM188"/>
  <c r="AS188" s="1"/>
  <c r="AM192"/>
  <c r="AM174"/>
  <c r="AS174" s="1"/>
  <c r="AM166"/>
  <c r="AS166" s="1"/>
  <c r="AM168"/>
  <c r="AM170"/>
  <c r="AS173"/>
  <c r="AM151"/>
  <c r="AM144"/>
  <c r="AM146"/>
  <c r="AM150"/>
  <c r="AS153"/>
  <c r="T910" i="20"/>
  <c r="AM147" i="1"/>
  <c r="AS145"/>
  <c r="AM138"/>
  <c r="AS138" s="1"/>
  <c r="AM124"/>
  <c r="AS124" s="1"/>
  <c r="AM122"/>
  <c r="AM110"/>
  <c r="AM112"/>
  <c r="AS108"/>
  <c r="AM69"/>
  <c r="AM68"/>
  <c r="T911" i="20"/>
  <c r="R890"/>
  <c r="AM61" i="1"/>
  <c r="AN61"/>
  <c r="AM59"/>
  <c r="AN55"/>
  <c r="AM14"/>
  <c r="X287"/>
  <c r="Z287"/>
  <c r="AO287" s="1"/>
  <c r="J89" i="29"/>
  <c r="J89" i="30" s="1"/>
  <c r="AS785" i="1"/>
  <c r="AS778"/>
  <c r="AS781"/>
  <c r="J34" i="29"/>
  <c r="J34" i="30" s="1"/>
  <c r="AS719" i="1"/>
  <c r="AS717"/>
  <c r="AS647"/>
  <c r="AS649"/>
  <c r="AS643"/>
  <c r="J24" i="29"/>
  <c r="J24" i="30" s="1"/>
  <c r="AS470" i="1"/>
  <c r="AH899"/>
  <c r="AE829"/>
  <c r="AE890" s="1"/>
  <c r="AE13" s="1"/>
  <c r="AT291"/>
  <c r="J44" i="4"/>
  <c r="J44" i="8" s="1"/>
  <c r="J79" i="4"/>
  <c r="J79" i="8" s="1"/>
  <c r="AS167" i="1"/>
  <c r="J49" i="4"/>
  <c r="J49" i="8" s="1"/>
  <c r="AF829" i="1"/>
  <c r="AS123"/>
  <c r="AS121"/>
  <c r="AS120"/>
  <c r="AN287"/>
  <c r="J15" i="4"/>
  <c r="J15" i="8" s="1"/>
  <c r="AS786" i="1"/>
  <c r="AS702"/>
  <c r="AS691"/>
  <c r="AS675"/>
  <c r="AS687"/>
  <c r="AS638"/>
  <c r="AS385"/>
  <c r="AS365"/>
  <c r="AS359"/>
  <c r="AS203"/>
  <c r="AS277"/>
  <c r="AS214"/>
  <c r="AS656"/>
  <c r="AS680"/>
  <c r="AS724"/>
  <c r="AS741"/>
  <c r="AS720"/>
  <c r="AS735"/>
  <c r="AS730"/>
  <c r="AS728"/>
  <c r="AS722"/>
  <c r="AS704"/>
  <c r="AS641"/>
  <c r="AS632"/>
  <c r="AS626"/>
  <c r="AS598"/>
  <c r="AS562"/>
  <c r="AS518"/>
  <c r="AS500"/>
  <c r="AS482"/>
  <c r="AS444"/>
  <c r="AS436"/>
  <c r="AS389"/>
  <c r="AS254"/>
  <c r="AS250"/>
  <c r="AS223"/>
  <c r="AS218"/>
  <c r="AS144"/>
  <c r="N22" i="7"/>
  <c r="K76"/>
  <c r="G86"/>
  <c r="G48" s="1"/>
  <c r="N51"/>
  <c r="K82"/>
  <c r="K39" s="1"/>
  <c r="N43"/>
  <c r="N30"/>
  <c r="M14"/>
  <c r="E84"/>
  <c r="E44" s="1"/>
  <c r="AA347" i="31"/>
  <c r="AA358"/>
  <c r="AA364"/>
  <c r="AM800" i="1"/>
  <c r="AN705"/>
  <c r="AN727"/>
  <c r="AM748"/>
  <c r="AS665"/>
  <c r="AS612"/>
  <c r="AM426"/>
  <c r="AM416"/>
  <c r="AM422"/>
  <c r="AM478"/>
  <c r="AM558"/>
  <c r="AM544"/>
  <c r="AS397"/>
  <c r="G31" i="4"/>
  <c r="G31" i="8" s="1"/>
  <c r="AS358" i="1"/>
  <c r="H80" i="7"/>
  <c r="G86" i="4"/>
  <c r="AM248" i="1"/>
  <c r="AM198"/>
  <c r="AS198" s="1"/>
  <c r="AM206"/>
  <c r="AS206" s="1"/>
  <c r="AM210"/>
  <c r="AM216"/>
  <c r="AM280"/>
  <c r="S64" i="33"/>
  <c r="AN149" i="1"/>
  <c r="AS149" s="1"/>
  <c r="G24" i="4"/>
  <c r="AS66" i="1"/>
  <c r="AS820"/>
  <c r="AS799"/>
  <c r="AS801"/>
  <c r="D100" i="29"/>
  <c r="D100" i="30" s="1"/>
  <c r="D99" i="29"/>
  <c r="D99" i="30" s="1"/>
  <c r="D98" i="29"/>
  <c r="D98" i="30" s="1"/>
  <c r="AS803" i="1"/>
  <c r="AS793"/>
  <c r="AS791"/>
  <c r="AS779"/>
  <c r="AS765"/>
  <c r="AS693"/>
  <c r="AS697"/>
  <c r="D83" i="29"/>
  <c r="D83" i="30" s="1"/>
  <c r="AS690" i="1"/>
  <c r="D16" i="29"/>
  <c r="D16" i="30" s="1"/>
  <c r="AS605" i="1"/>
  <c r="AS625"/>
  <c r="D24" i="29"/>
  <c r="D24" i="30" s="1"/>
  <c r="AS561" i="1"/>
  <c r="AS379"/>
  <c r="AS361"/>
  <c r="AS329"/>
  <c r="R33" i="35"/>
  <c r="AS362" i="1"/>
  <c r="AL336"/>
  <c r="AR336" s="1"/>
  <c r="AN337"/>
  <c r="N33" i="4"/>
  <c r="P892" i="25"/>
  <c r="P2" s="1"/>
  <c r="AM337" i="1"/>
  <c r="AN336"/>
  <c r="AM336"/>
  <c r="AR337"/>
  <c r="J33" i="4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J58"/>
  <c r="N185" i="31"/>
  <c r="AA359"/>
  <c r="H65" i="4"/>
  <c r="H65" i="8" s="1"/>
  <c r="AS524" i="1"/>
  <c r="AS217"/>
  <c r="AS685"/>
  <c r="AS236"/>
  <c r="N14" i="4"/>
  <c r="AS833" i="1"/>
  <c r="AL904"/>
  <c r="AR844"/>
  <c r="J14" i="29"/>
  <c r="J14" i="30" s="1"/>
  <c r="AR304" i="1"/>
  <c r="AS521"/>
  <c r="J55" i="4"/>
  <c r="AS827" i="1"/>
  <c r="D94" i="29"/>
  <c r="D94" i="30" s="1"/>
  <c r="J79" i="29"/>
  <c r="J79" i="30" s="1"/>
  <c r="J81" s="1"/>
  <c r="AS610" i="1"/>
  <c r="AR356"/>
  <c r="J98" i="29"/>
  <c r="J98" i="30" s="1"/>
  <c r="AA551" i="1"/>
  <c r="AP551" s="1"/>
  <c r="AA547"/>
  <c r="AP547" s="1"/>
  <c r="AA543"/>
  <c r="AP543" s="1"/>
  <c r="AA539"/>
  <c r="AP539" s="1"/>
  <c r="AA535"/>
  <c r="AP535" s="1"/>
  <c r="AA531"/>
  <c r="AP531" s="1"/>
  <c r="AA527"/>
  <c r="AP527" s="1"/>
  <c r="AA523"/>
  <c r="AP523" s="1"/>
  <c r="N562"/>
  <c r="AJ562" s="1"/>
  <c r="T908" i="20"/>
  <c r="Z611" i="1"/>
  <c r="AO611" s="1"/>
  <c r="Z600"/>
  <c r="AO600" s="1"/>
  <c r="AA589"/>
  <c r="AP589" s="1"/>
  <c r="AA585"/>
  <c r="AP585" s="1"/>
  <c r="AT585" s="1"/>
  <c r="AA581"/>
  <c r="AP581" s="1"/>
  <c r="AT581" s="1"/>
  <c r="Z563"/>
  <c r="AO563" s="1"/>
  <c r="Z559"/>
  <c r="AO559" s="1"/>
  <c r="Z557"/>
  <c r="AO557" s="1"/>
  <c r="Z553"/>
  <c r="AO553" s="1"/>
  <c r="T910" i="25"/>
  <c r="S888" i="27"/>
  <c r="T899"/>
  <c r="T898" i="25"/>
  <c r="T907" i="20"/>
  <c r="T904"/>
  <c r="AA654" i="1"/>
  <c r="AP654" s="1"/>
  <c r="AA622"/>
  <c r="AP622" s="1"/>
  <c r="AA620"/>
  <c r="AP620" s="1"/>
  <c r="AT620" s="1"/>
  <c r="AA618"/>
  <c r="AP618" s="1"/>
  <c r="AA616"/>
  <c r="AP616" s="1"/>
  <c r="AA614"/>
  <c r="AP614" s="1"/>
  <c r="Z564"/>
  <c r="AO564" s="1"/>
  <c r="Z558"/>
  <c r="AO558" s="1"/>
  <c r="Z552"/>
  <c r="AO552" s="1"/>
  <c r="Z400"/>
  <c r="AO400" s="1"/>
  <c r="Z398"/>
  <c r="AO398" s="1"/>
  <c r="Z396"/>
  <c r="AO396" s="1"/>
  <c r="Z394"/>
  <c r="AO394" s="1"/>
  <c r="Z392"/>
  <c r="AO392" s="1"/>
  <c r="Z390"/>
  <c r="AO390" s="1"/>
  <c r="Z388"/>
  <c r="AO388" s="1"/>
  <c r="Z386"/>
  <c r="AO386" s="1"/>
  <c r="Z384"/>
  <c r="AO384" s="1"/>
  <c r="Z377"/>
  <c r="AO377" s="1"/>
  <c r="AT377" s="1"/>
  <c r="AA366"/>
  <c r="AP366" s="1"/>
  <c r="Z350"/>
  <c r="AO350" s="1"/>
  <c r="AT350" s="1"/>
  <c r="Z321"/>
  <c r="AO321" s="1"/>
  <c r="AT321" s="1"/>
  <c r="Z300"/>
  <c r="AO300" s="1"/>
  <c r="AT300" s="1"/>
  <c r="AA280"/>
  <c r="AP280" s="1"/>
  <c r="AA278"/>
  <c r="AP278" s="1"/>
  <c r="AA264"/>
  <c r="AP264" s="1"/>
  <c r="AT264" s="1"/>
  <c r="AA261"/>
  <c r="AP261" s="1"/>
  <c r="AT261" s="1"/>
  <c r="Z253"/>
  <c r="AO253" s="1"/>
  <c r="AT253" s="1"/>
  <c r="Z245"/>
  <c r="AO245" s="1"/>
  <c r="AT245" s="1"/>
  <c r="AA237"/>
  <c r="AP237" s="1"/>
  <c r="AT237" s="1"/>
  <c r="Z214"/>
  <c r="AO214" s="1"/>
  <c r="AA211"/>
  <c r="AP211" s="1"/>
  <c r="AT211" s="1"/>
  <c r="AA207"/>
  <c r="AP207" s="1"/>
  <c r="Z185"/>
  <c r="AO185" s="1"/>
  <c r="AT185" s="1"/>
  <c r="Z170"/>
  <c r="AO170" s="1"/>
  <c r="AT170" s="1"/>
  <c r="Z162"/>
  <c r="AO162" s="1"/>
  <c r="AT162" s="1"/>
  <c r="Z147"/>
  <c r="AO147" s="1"/>
  <c r="AT147" s="1"/>
  <c r="AA139"/>
  <c r="AP139" s="1"/>
  <c r="AT139" s="1"/>
  <c r="Z131"/>
  <c r="AO131" s="1"/>
  <c r="AT131" s="1"/>
  <c r="Z123"/>
  <c r="AO123" s="1"/>
  <c r="AT123" s="1"/>
  <c r="Z111"/>
  <c r="AO111" s="1"/>
  <c r="AT111" s="1"/>
  <c r="Z72"/>
  <c r="AO72" s="1"/>
  <c r="AT72" s="1"/>
  <c r="AA65"/>
  <c r="AP65" s="1"/>
  <c r="AT65" s="1"/>
  <c r="T898" i="26"/>
  <c r="AS148" i="1"/>
  <c r="G60" i="4"/>
  <c r="AA640" i="1"/>
  <c r="AP640" s="1"/>
  <c r="AN17"/>
  <c r="AM23"/>
  <c r="AM73"/>
  <c r="AM99"/>
  <c r="AR283"/>
  <c r="AM290"/>
  <c r="AS290" s="1"/>
  <c r="Z667"/>
  <c r="AO667" s="1"/>
  <c r="AK213"/>
  <c r="AM288"/>
  <c r="AA667"/>
  <c r="AP667" s="1"/>
  <c r="AK211"/>
  <c r="AK215"/>
  <c r="Z640"/>
  <c r="AO640" s="1"/>
  <c r="AM91"/>
  <c r="AR219"/>
  <c r="AM286"/>
  <c r="AS286" s="1"/>
  <c r="AS865"/>
  <c r="AS877"/>
  <c r="AM408"/>
  <c r="AM766"/>
  <c r="AM314"/>
  <c r="AM316"/>
  <c r="AM320"/>
  <c r="AM348"/>
  <c r="AM380"/>
  <c r="AM382"/>
  <c r="AM384"/>
  <c r="AS384" s="1"/>
  <c r="AM430"/>
  <c r="AM458"/>
  <c r="AM462"/>
  <c r="AS462" s="1"/>
  <c r="AM526"/>
  <c r="AM554"/>
  <c r="AS554" s="1"/>
  <c r="AM566"/>
  <c r="AM576"/>
  <c r="AM584"/>
  <c r="AM588"/>
  <c r="AS588" s="1"/>
  <c r="AM592"/>
  <c r="AM596"/>
  <c r="AS596" s="1"/>
  <c r="AM608"/>
  <c r="AS845"/>
  <c r="AM406"/>
  <c r="AM790"/>
  <c r="AS839"/>
  <c r="AS867"/>
  <c r="AS885"/>
  <c r="N108" i="29"/>
  <c r="N56"/>
  <c r="A191" i="31"/>
  <c r="N191" s="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Q44" i="4"/>
  <c r="Q44" i="8" s="1"/>
  <c r="O61" i="33"/>
  <c r="O59"/>
  <c r="AR61" i="1"/>
  <c r="AS64"/>
  <c r="AA396" i="31"/>
  <c r="T894" i="26"/>
  <c r="T4" s="1"/>
  <c r="P6" i="33"/>
  <c r="D164" i="35"/>
  <c r="H195"/>
  <c r="O6" i="33"/>
  <c r="AS584" i="1"/>
  <c r="AS80"/>
  <c r="D57" i="29"/>
  <c r="AT311" i="1"/>
  <c r="AS261"/>
  <c r="AS251"/>
  <c r="AS169"/>
  <c r="AS141"/>
  <c r="AS125"/>
  <c r="AS168"/>
  <c r="AS129"/>
  <c r="AS112"/>
  <c r="T907"/>
  <c r="T901"/>
  <c r="AS68"/>
  <c r="D70" i="4"/>
  <c r="D70" i="8" s="1"/>
  <c r="P890" i="27"/>
  <c r="P13" s="1"/>
  <c r="J92" i="4"/>
  <c r="J92" i="8" s="1"/>
  <c r="AS875" i="1"/>
  <c r="AS842"/>
  <c r="J75" i="29"/>
  <c r="J75" i="30" s="1"/>
  <c r="AH911" i="1"/>
  <c r="J82" i="4" s="1"/>
  <c r="AS222" i="1"/>
  <c r="AS122"/>
  <c r="AS99"/>
  <c r="AS82"/>
  <c r="AT859"/>
  <c r="M55" i="4"/>
  <c r="M56" s="1"/>
  <c r="AS230" i="1"/>
  <c r="AM761"/>
  <c r="AM570"/>
  <c r="AN116"/>
  <c r="AS116" s="1"/>
  <c r="AS407"/>
  <c r="AD892"/>
  <c r="AD2" s="1"/>
  <c r="N17" i="4"/>
  <c r="W894" i="1"/>
  <c r="W4" s="1"/>
  <c r="H30" i="4"/>
  <c r="AR329" i="1"/>
  <c r="AR382"/>
  <c r="AR328"/>
  <c r="H34" i="4"/>
  <c r="AT294" i="1"/>
  <c r="AR269"/>
  <c r="AR279"/>
  <c r="AR202"/>
  <c r="N85" i="4"/>
  <c r="AT254" i="1"/>
  <c r="AR84"/>
  <c r="AR92"/>
  <c r="N16" i="4"/>
  <c r="AR15" i="1"/>
  <c r="AT608"/>
  <c r="AS317"/>
  <c r="AS105"/>
  <c r="T902"/>
  <c r="AS872"/>
  <c r="T888"/>
  <c r="T894" s="1"/>
  <c r="T4" s="1"/>
  <c r="D92" i="4"/>
  <c r="D104" s="1"/>
  <c r="AS835" i="1"/>
  <c r="E76" i="7"/>
  <c r="E11" s="1"/>
  <c r="D86" i="4"/>
  <c r="D86" i="8" s="1"/>
  <c r="AS265" i="1"/>
  <c r="AS266"/>
  <c r="AS226"/>
  <c r="T908"/>
  <c r="J94" i="29"/>
  <c r="J94" i="30" s="1"/>
  <c r="J19" i="29"/>
  <c r="J19" i="30" s="1"/>
  <c r="P49" i="4"/>
  <c r="P49" i="8" s="1"/>
  <c r="AS458" i="1"/>
  <c r="K10" i="4"/>
  <c r="P896" i="27"/>
  <c r="A192" i="31"/>
  <c r="N192" s="1"/>
  <c r="R894" i="1"/>
  <c r="R4" s="1"/>
  <c r="J52" i="29"/>
  <c r="J52" i="30" s="1"/>
  <c r="Q81" i="4"/>
  <c r="N81" s="1"/>
  <c r="O35" i="36"/>
  <c r="O25"/>
  <c r="N25" s="1"/>
  <c r="D64" i="29"/>
  <c r="D64" i="30" s="1"/>
  <c r="AR216" i="1"/>
  <c r="J77" i="4"/>
  <c r="J77" i="8" s="1"/>
  <c r="K78" i="7"/>
  <c r="J40" i="4" s="1"/>
  <c r="J40" i="8" s="1"/>
  <c r="E78" i="7"/>
  <c r="D40" i="4" s="1"/>
  <c r="D40" i="8" s="1"/>
  <c r="J106" i="29"/>
  <c r="J106" i="30" s="1"/>
  <c r="J105" i="29"/>
  <c r="J105" i="30" s="1"/>
  <c r="J65" i="29"/>
  <c r="J65" i="30"/>
  <c r="J64" i="29"/>
  <c r="J64" i="30"/>
  <c r="J66" s="1"/>
  <c r="D74" i="29"/>
  <c r="D74" i="30" s="1"/>
  <c r="D22" i="4"/>
  <c r="D22" i="8" s="1"/>
  <c r="J13" i="29"/>
  <c r="J13" i="30" s="1"/>
  <c r="D61" i="29"/>
  <c r="D61" i="30" s="1"/>
  <c r="D51" i="29"/>
  <c r="D51" i="30" s="1"/>
  <c r="AH898" i="1"/>
  <c r="J76" i="4"/>
  <c r="J76" i="8" s="1"/>
  <c r="J25" i="4"/>
  <c r="J25" i="8" s="1"/>
  <c r="J32" i="29"/>
  <c r="J32" i="30" s="1"/>
  <c r="D75" i="29"/>
  <c r="D75" i="30" s="1"/>
  <c r="J74" i="29"/>
  <c r="J74" i="30" s="1"/>
  <c r="J61" i="29"/>
  <c r="J51"/>
  <c r="J51" i="30" s="1"/>
  <c r="AS310" i="1"/>
  <c r="E66" i="7"/>
  <c r="E67" s="1"/>
  <c r="R50" i="35"/>
  <c r="AT353" i="1"/>
  <c r="R80" i="33"/>
  <c r="R78"/>
  <c r="R70"/>
  <c r="AT154" i="1"/>
  <c r="G55" i="29"/>
  <c r="G55" i="30" s="1"/>
  <c r="S79" i="33"/>
  <c r="S77"/>
  <c r="R66"/>
  <c r="AT157" i="1"/>
  <c r="P890" i="25"/>
  <c r="AA39" i="31"/>
  <c r="AS94" i="1"/>
  <c r="J64" i="4"/>
  <c r="J64" i="8" s="1"/>
  <c r="E79"/>
  <c r="P890" i="20"/>
  <c r="P13" s="1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T840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 s="1"/>
  <c r="AR827" i="1"/>
  <c r="P50" i="4"/>
  <c r="P50" i="8" s="1"/>
  <c r="AR530" i="1"/>
  <c r="AS834"/>
  <c r="G84" i="29"/>
  <c r="G84" i="30" s="1"/>
  <c r="N97"/>
  <c r="AA15" i="31"/>
  <c r="AA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H49" i="8" s="1"/>
  <c r="AR333" i="1"/>
  <c r="AR567"/>
  <c r="AT570"/>
  <c r="AR709"/>
  <c r="AR711"/>
  <c r="AR717"/>
  <c r="AR791"/>
  <c r="AR797"/>
  <c r="AR850"/>
  <c r="AR882"/>
  <c r="B20" i="30"/>
  <c r="B21"/>
  <c r="K19"/>
  <c r="E19"/>
  <c r="H19"/>
  <c r="K51"/>
  <c r="E51"/>
  <c r="H51"/>
  <c r="G98" i="29"/>
  <c r="G98" i="30" s="1"/>
  <c r="M98" s="1"/>
  <c r="G57" i="29"/>
  <c r="G57" i="30" s="1"/>
  <c r="G14" i="29"/>
  <c r="G14" i="30" s="1"/>
  <c r="AT159" i="1"/>
  <c r="AT163"/>
  <c r="S69" i="33"/>
  <c r="G18" i="29"/>
  <c r="G18" i="30" s="1"/>
  <c r="G100" i="29"/>
  <c r="G100" i="30" s="1"/>
  <c r="G89" i="29"/>
  <c r="G89" i="30" s="1"/>
  <c r="G35" i="29"/>
  <c r="G35" i="30" s="1"/>
  <c r="G32" i="29"/>
  <c r="G32" i="30" s="1"/>
  <c r="G107" i="29"/>
  <c r="G107" i="30" s="1"/>
  <c r="G48" i="29"/>
  <c r="G48" i="30" s="1"/>
  <c r="G47" i="29"/>
  <c r="G47" i="30" s="1"/>
  <c r="G48" i="4"/>
  <c r="G48" i="8" s="1"/>
  <c r="G70" i="4"/>
  <c r="G70" i="8" s="1"/>
  <c r="H88" i="7"/>
  <c r="H52" s="1"/>
  <c r="G63" i="4"/>
  <c r="G13" i="29"/>
  <c r="G13" i="30" s="1"/>
  <c r="G13" i="4"/>
  <c r="G14"/>
  <c r="G14" i="8" s="1"/>
  <c r="G22" i="4"/>
  <c r="G22" i="8" s="1"/>
  <c r="G17" i="4"/>
  <c r="G17" i="8" s="1"/>
  <c r="M17" s="1"/>
  <c r="AT103" i="1"/>
  <c r="G97" i="29"/>
  <c r="G97" i="30" s="1"/>
  <c r="G80" i="29"/>
  <c r="G34"/>
  <c r="G34" i="30" s="1"/>
  <c r="G37" i="29"/>
  <c r="G37" i="30" s="1"/>
  <c r="G16" i="29"/>
  <c r="G16" i="30" s="1"/>
  <c r="G50" i="29"/>
  <c r="G50" i="30" s="1"/>
  <c r="G72" i="29"/>
  <c r="G72" i="30" s="1"/>
  <c r="G46" i="29"/>
  <c r="S71" i="33"/>
  <c r="G78" i="4"/>
  <c r="S61" i="35"/>
  <c r="G26" i="29"/>
  <c r="G26" i="30" s="1"/>
  <c r="G25" i="29"/>
  <c r="G25" i="30" s="1"/>
  <c r="G27" s="1"/>
  <c r="AT314" i="1"/>
  <c r="G17" i="29"/>
  <c r="G17" i="30" s="1"/>
  <c r="G108" i="29"/>
  <c r="AT356" i="1"/>
  <c r="AT292"/>
  <c r="AT90"/>
  <c r="S68" i="33"/>
  <c r="AT310" i="1"/>
  <c r="R72" i="33"/>
  <c r="S81"/>
  <c r="AT378" i="1"/>
  <c r="AT112"/>
  <c r="AT360"/>
  <c r="AT169"/>
  <c r="AT325"/>
  <c r="AT362"/>
  <c r="AT295"/>
  <c r="AT323"/>
  <c r="AT715"/>
  <c r="AT82"/>
  <c r="AT247"/>
  <c r="AT707"/>
  <c r="R76" i="33"/>
  <c r="AT836" i="1"/>
  <c r="AS837"/>
  <c r="R894" i="27"/>
  <c r="R4"/>
  <c r="AS608" i="1"/>
  <c r="AS571"/>
  <c r="AS314"/>
  <c r="AA898"/>
  <c r="A553" i="27"/>
  <c r="N553" s="1"/>
  <c r="N552"/>
  <c r="AS688" i="1"/>
  <c r="N19" i="4"/>
  <c r="AS866" i="1"/>
  <c r="AS798"/>
  <c r="AS826"/>
  <c r="AS760"/>
  <c r="AT302"/>
  <c r="AR271"/>
  <c r="AT68"/>
  <c r="AN777"/>
  <c r="AS777" s="1"/>
  <c r="AN787"/>
  <c r="AN821"/>
  <c r="AN825"/>
  <c r="AK183"/>
  <c r="AR183" s="1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T846"/>
  <c r="AS836"/>
  <c r="AN572"/>
  <c r="AA911"/>
  <c r="AS233"/>
  <c r="AS184"/>
  <c r="G85" i="4"/>
  <c r="G85" i="8" s="1"/>
  <c r="AN118" i="1"/>
  <c r="AN63"/>
  <c r="AS65"/>
  <c r="T908" i="27"/>
  <c r="E86" i="7"/>
  <c r="AC890" i="1"/>
  <c r="AC13" s="1"/>
  <c r="G44" i="29"/>
  <c r="G44" i="30" s="1"/>
  <c r="AL902" i="1"/>
  <c r="AT109"/>
  <c r="AK888"/>
  <c r="G106" i="29"/>
  <c r="G106" i="30" s="1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T309"/>
  <c r="AS510"/>
  <c r="AL907"/>
  <c r="AR576"/>
  <c r="AS526"/>
  <c r="AS337"/>
  <c r="AS61"/>
  <c r="N72" i="29"/>
  <c r="N72" i="30"/>
  <c r="N104"/>
  <c r="N83"/>
  <c r="H22" i="4"/>
  <c r="H22" i="8" s="1"/>
  <c r="AS332" i="1"/>
  <c r="AT332"/>
  <c r="AS634"/>
  <c r="AS644"/>
  <c r="AS662"/>
  <c r="AS400"/>
  <c r="AS580"/>
  <c r="AS23"/>
  <c r="G81" i="4"/>
  <c r="R71" i="33"/>
  <c r="AS216" i="1"/>
  <c r="J36" i="4"/>
  <c r="J36" i="8" s="1"/>
  <c r="J37" i="4"/>
  <c r="J37" i="8" s="1"/>
  <c r="AS790" i="1"/>
  <c r="AS316"/>
  <c r="AT316"/>
  <c r="AS91"/>
  <c r="AS150"/>
  <c r="AS487"/>
  <c r="AS718"/>
  <c r="AS696"/>
  <c r="AS682"/>
  <c r="AS672"/>
  <c r="AS604"/>
  <c r="AT604"/>
  <c r="AT368"/>
  <c r="AS368"/>
  <c r="AS387"/>
  <c r="AS414"/>
  <c r="AS664"/>
  <c r="AS668"/>
  <c r="AS698"/>
  <c r="AS712"/>
  <c r="AT712"/>
  <c r="AS882"/>
  <c r="AS870"/>
  <c r="G43" i="29"/>
  <c r="G43" i="30" s="1"/>
  <c r="AS210" i="1"/>
  <c r="AS716"/>
  <c r="AS555"/>
  <c r="W911"/>
  <c r="AR66"/>
  <c r="AR153"/>
  <c r="AR170"/>
  <c r="AK177"/>
  <c r="AR244"/>
  <c r="AR266"/>
  <c r="AR289"/>
  <c r="H48" i="4"/>
  <c r="H47" s="1"/>
  <c r="AR377" i="1"/>
  <c r="AR416"/>
  <c r="AR520"/>
  <c r="AR532"/>
  <c r="AR588"/>
  <c r="AR633"/>
  <c r="AS455"/>
  <c r="AS425"/>
  <c r="AS421"/>
  <c r="AT379"/>
  <c r="AT358"/>
  <c r="AS355"/>
  <c r="AT347"/>
  <c r="AS330"/>
  <c r="AS325"/>
  <c r="AS315"/>
  <c r="AT313"/>
  <c r="AS311"/>
  <c r="AT305"/>
  <c r="AS303"/>
  <c r="AS302"/>
  <c r="AS180"/>
  <c r="AS175"/>
  <c r="AS165"/>
  <c r="AS139"/>
  <c r="AT137"/>
  <c r="AS133"/>
  <c r="AT129"/>
  <c r="AS127"/>
  <c r="AS106"/>
  <c r="AT105"/>
  <c r="AS104"/>
  <c r="AS103"/>
  <c r="AS97"/>
  <c r="AS93"/>
  <c r="AS84"/>
  <c r="AS76"/>
  <c r="AS22"/>
  <c r="G92" i="4"/>
  <c r="M92" s="1"/>
  <c r="M93" s="1"/>
  <c r="G104" i="29"/>
  <c r="AR451" i="1"/>
  <c r="AR705"/>
  <c r="AS766"/>
  <c r="M14" i="4"/>
  <c r="AS110" i="1"/>
  <c r="AT110"/>
  <c r="AS146"/>
  <c r="AS151"/>
  <c r="G24" i="29"/>
  <c r="G24" i="30" s="1"/>
  <c r="J34" i="4"/>
  <c r="J33" i="8"/>
  <c r="AS558" i="1"/>
  <c r="AS422"/>
  <c r="AS426"/>
  <c r="AS800"/>
  <c r="AS393"/>
  <c r="AS394"/>
  <c r="AS450"/>
  <c r="AS446"/>
  <c r="H24" i="8"/>
  <c r="N24" s="1"/>
  <c r="H104" i="4"/>
  <c r="N104" s="1"/>
  <c r="H55" i="8"/>
  <c r="N92" i="4"/>
  <c r="H92" i="8"/>
  <c r="D92"/>
  <c r="AR64" i="1"/>
  <c r="N80" i="4"/>
  <c r="H80" i="8"/>
  <c r="D93" i="4"/>
  <c r="E92" i="8"/>
  <c r="G65" i="29"/>
  <c r="G65" i="30" s="1"/>
  <c r="G60" i="29"/>
  <c r="G83"/>
  <c r="G83" i="30" s="1"/>
  <c r="G56" i="29"/>
  <c r="N46"/>
  <c r="E58"/>
  <c r="E56" i="30"/>
  <c r="N68" i="29"/>
  <c r="E68" i="30"/>
  <c r="H70" i="29"/>
  <c r="H68" i="30"/>
  <c r="AM20" i="1"/>
  <c r="AM26"/>
  <c r="AM56"/>
  <c r="AM62"/>
  <c r="AN72"/>
  <c r="AS72" s="1"/>
  <c r="AN81"/>
  <c r="AM107"/>
  <c r="AM111"/>
  <c r="AM152"/>
  <c r="AL160"/>
  <c r="AN161"/>
  <c r="O66" i="35"/>
  <c r="AL177" i="1"/>
  <c r="AL178"/>
  <c r="AN178"/>
  <c r="AS178" s="1"/>
  <c r="AM181"/>
  <c r="AN183"/>
  <c r="AM185"/>
  <c r="AN186"/>
  <c r="AL191"/>
  <c r="H79" i="4"/>
  <c r="AN191" i="1"/>
  <c r="AL192"/>
  <c r="AN192"/>
  <c r="AS192" s="1"/>
  <c r="AN193"/>
  <c r="AL194"/>
  <c r="AN194"/>
  <c r="AS194" s="1"/>
  <c r="AM201"/>
  <c r="AK203"/>
  <c r="AM207"/>
  <c r="AK208"/>
  <c r="AR208"/>
  <c r="AK212"/>
  <c r="AR212"/>
  <c r="AN212"/>
  <c r="AL213"/>
  <c r="P71" i="33"/>
  <c r="AL214" i="1"/>
  <c r="P72" i="33"/>
  <c r="AL215" i="1"/>
  <c r="AR215" s="1"/>
  <c r="AN232"/>
  <c r="AN239"/>
  <c r="AT239"/>
  <c r="AM240"/>
  <c r="AN289"/>
  <c r="AS289" s="1"/>
  <c r="AM299"/>
  <c r="AS299" s="1"/>
  <c r="N48" i="4"/>
  <c r="H48" i="8"/>
  <c r="AM307" i="1"/>
  <c r="AN308"/>
  <c r="AN318"/>
  <c r="AS318" s="1"/>
  <c r="AM321"/>
  <c r="AM333"/>
  <c r="AN334"/>
  <c r="AM335"/>
  <c r="AT335"/>
  <c r="AN338"/>
  <c r="H32" i="8"/>
  <c r="N32" i="4"/>
  <c r="AN340" i="1"/>
  <c r="AS340" s="1"/>
  <c r="AM345"/>
  <c r="AM371"/>
  <c r="AT371"/>
  <c r="AM373"/>
  <c r="AN374"/>
  <c r="AN375"/>
  <c r="AS375" s="1"/>
  <c r="AN377"/>
  <c r="AN390"/>
  <c r="AN391"/>
  <c r="AM404"/>
  <c r="AN405"/>
  <c r="AN406"/>
  <c r="AS406" s="1"/>
  <c r="AN408"/>
  <c r="AN409"/>
  <c r="AN410"/>
  <c r="AM415"/>
  <c r="AN416"/>
  <c r="AM419"/>
  <c r="AM432"/>
  <c r="AS432" s="1"/>
  <c r="AM433"/>
  <c r="AM463"/>
  <c r="AN466"/>
  <c r="AM475"/>
  <c r="AN478"/>
  <c r="AM495"/>
  <c r="AN499"/>
  <c r="AM507"/>
  <c r="AN512"/>
  <c r="AN519"/>
  <c r="AN520"/>
  <c r="AM527"/>
  <c r="AS527" s="1"/>
  <c r="AN530"/>
  <c r="AN531"/>
  <c r="AN532"/>
  <c r="AN543"/>
  <c r="AN544"/>
  <c r="AN545"/>
  <c r="AN546"/>
  <c r="AN557"/>
  <c r="AS557" s="1"/>
  <c r="AM565"/>
  <c r="AM575"/>
  <c r="AM585"/>
  <c r="AN587"/>
  <c r="AS587" s="1"/>
  <c r="AM591"/>
  <c r="AM617"/>
  <c r="AN619"/>
  <c r="AS619" s="1"/>
  <c r="AM633"/>
  <c r="AN637"/>
  <c r="AS380"/>
  <c r="AT320"/>
  <c r="J55" i="8"/>
  <c r="G56" i="4"/>
  <c r="AS502" i="1"/>
  <c r="AS472"/>
  <c r="M35" i="29"/>
  <c r="D30" i="4"/>
  <c r="AS248" i="1"/>
  <c r="AT710"/>
  <c r="AS269"/>
  <c r="AT363"/>
  <c r="AS679"/>
  <c r="AS670"/>
  <c r="AS701"/>
  <c r="AT706"/>
  <c r="AS449"/>
  <c r="AS372"/>
  <c r="AS508"/>
  <c r="AS516"/>
  <c r="AS305"/>
  <c r="AS360"/>
  <c r="AT346"/>
  <c r="D87" i="4"/>
  <c r="AS539" i="1"/>
  <c r="AS313"/>
  <c r="AT315"/>
  <c r="N24" i="4"/>
  <c r="AT94" i="1"/>
  <c r="AS514"/>
  <c r="AS860"/>
  <c r="AT862"/>
  <c r="AS871"/>
  <c r="AT863"/>
  <c r="AT866"/>
  <c r="AS652"/>
  <c r="AT148"/>
  <c r="S470" i="31"/>
  <c r="D55" i="8"/>
  <c r="D56" s="1"/>
  <c r="AS545" i="1"/>
  <c r="AS620"/>
  <c r="AS629"/>
  <c r="AR327"/>
  <c r="AS537"/>
  <c r="AS533"/>
  <c r="K56" i="4"/>
  <c r="K55" i="8"/>
  <c r="K56" s="1"/>
  <c r="AS609" i="1"/>
  <c r="AS810"/>
  <c r="AR278"/>
  <c r="AR344"/>
  <c r="AR56"/>
  <c r="AR120"/>
  <c r="AS775"/>
  <c r="AS346"/>
  <c r="AR340"/>
  <c r="AR218"/>
  <c r="AT167"/>
  <c r="AS137"/>
  <c r="W829"/>
  <c r="W914" s="1"/>
  <c r="W915" s="1"/>
  <c r="G84" i="7"/>
  <c r="G44"/>
  <c r="G78"/>
  <c r="H40" i="4"/>
  <c r="N32" i="8"/>
  <c r="E26" i="4"/>
  <c r="E28" s="1"/>
  <c r="E25" i="8"/>
  <c r="N16"/>
  <c r="O34" i="36"/>
  <c r="B34" s="1"/>
  <c r="H25" i="4"/>
  <c r="G67" i="7"/>
  <c r="G90" s="1"/>
  <c r="M66"/>
  <c r="M67" s="1"/>
  <c r="M69" s="1"/>
  <c r="AM392" i="1"/>
  <c r="AR399"/>
  <c r="E27" i="29"/>
  <c r="E25" i="30"/>
  <c r="N25" s="1"/>
  <c r="N55"/>
  <c r="N60"/>
  <c r="N65"/>
  <c r="E81" i="29"/>
  <c r="E79" i="30"/>
  <c r="N84"/>
  <c r="N93"/>
  <c r="N105"/>
  <c r="H58" i="29"/>
  <c r="H56" i="30"/>
  <c r="N26"/>
  <c r="N35"/>
  <c r="H15" i="4"/>
  <c r="H20" s="1"/>
  <c r="AR147" i="1"/>
  <c r="AR229"/>
  <c r="AR391"/>
  <c r="AR407"/>
  <c r="AR409"/>
  <c r="AM438"/>
  <c r="AM480"/>
  <c r="AS480" s="1"/>
  <c r="AM486"/>
  <c r="AS486" s="1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E40" i="4" s="1"/>
  <c r="E40" i="8" s="1"/>
  <c r="M22" i="7"/>
  <c r="N25" i="32"/>
  <c r="AM200" i="1"/>
  <c r="AT584"/>
  <c r="AS552"/>
  <c r="AT574"/>
  <c r="AS574"/>
  <c r="AS599"/>
  <c r="AT573"/>
  <c r="AS573"/>
  <c r="AS593"/>
  <c r="AS589"/>
  <c r="AT579"/>
  <c r="AS563"/>
  <c r="AS556"/>
  <c r="AS543"/>
  <c r="AS541"/>
  <c r="AS536"/>
  <c r="AS535"/>
  <c r="AS525"/>
  <c r="AS517"/>
  <c r="AS494"/>
  <c r="AS473"/>
  <c r="AS465"/>
  <c r="AS447"/>
  <c r="AS437"/>
  <c r="G105" i="29"/>
  <c r="G105" i="30" s="1"/>
  <c r="AS498" i="1"/>
  <c r="AS413"/>
  <c r="AS423"/>
  <c r="AS431"/>
  <c r="AS457"/>
  <c r="AS459"/>
  <c r="AS461"/>
  <c r="AS440"/>
  <c r="AS471"/>
  <c r="AS481"/>
  <c r="AS483"/>
  <c r="AS485"/>
  <c r="AS503"/>
  <c r="AS531"/>
  <c r="AS547"/>
  <c r="AS553"/>
  <c r="AS565"/>
  <c r="AS441"/>
  <c r="AS505"/>
  <c r="AS509"/>
  <c r="AS342"/>
  <c r="AS247"/>
  <c r="AM186"/>
  <c r="AS260"/>
  <c r="AS235"/>
  <c r="AM572"/>
  <c r="AS592"/>
  <c r="AS566"/>
  <c r="AS600"/>
  <c r="AS579"/>
  <c r="AS597"/>
  <c r="AS583"/>
  <c r="AT583"/>
  <c r="AS336"/>
  <c r="AS347"/>
  <c r="AT342"/>
  <c r="AM298"/>
  <c r="AM304"/>
  <c r="AS259"/>
  <c r="AS283"/>
  <c r="AT283"/>
  <c r="AS281"/>
  <c r="AS249"/>
  <c r="AS243"/>
  <c r="AS228"/>
  <c r="AS191"/>
  <c r="AS262"/>
  <c r="AT236"/>
  <c r="AN284"/>
  <c r="AN280"/>
  <c r="AN275"/>
  <c r="AS275" s="1"/>
  <c r="AN274"/>
  <c r="AN273"/>
  <c r="AN272"/>
  <c r="AN271"/>
  <c r="AN268"/>
  <c r="AN263"/>
  <c r="AM258"/>
  <c r="AN257"/>
  <c r="AN246"/>
  <c r="AM245"/>
  <c r="AN241"/>
  <c r="AN238"/>
  <c r="AM237"/>
  <c r="AM231"/>
  <c r="AS231" s="1"/>
  <c r="AN227"/>
  <c r="AN225"/>
  <c r="AS225" s="1"/>
  <c r="AN215"/>
  <c r="AN211"/>
  <c r="AN208"/>
  <c r="AN205"/>
  <c r="AN204"/>
  <c r="AN200"/>
  <c r="AM199"/>
  <c r="AN196"/>
  <c r="AM189"/>
  <c r="AN187"/>
  <c r="AN185"/>
  <c r="AM183"/>
  <c r="AS348"/>
  <c r="AS674"/>
  <c r="AS501"/>
  <c r="AS469"/>
  <c r="AS809"/>
  <c r="AS707"/>
  <c r="AS497"/>
  <c r="AS655"/>
  <c r="AS815"/>
  <c r="T894" i="20"/>
  <c r="T4" s="1"/>
  <c r="AS595" i="1"/>
  <c r="AS660"/>
  <c r="AS850"/>
  <c r="AT714"/>
  <c r="AS569"/>
  <c r="AS100"/>
  <c r="G64" i="4"/>
  <c r="AN19" i="1"/>
  <c r="AM71"/>
  <c r="AM87"/>
  <c r="AM101"/>
  <c r="AM220"/>
  <c r="AS220" s="1"/>
  <c r="AM296"/>
  <c r="AM300"/>
  <c r="AM334"/>
  <c r="AM370"/>
  <c r="AT370"/>
  <c r="AM464"/>
  <c r="AM496"/>
  <c r="AM582"/>
  <c r="G68" i="29"/>
  <c r="AS320" i="1"/>
  <c r="AS585"/>
  <c r="AM24"/>
  <c r="AM54"/>
  <c r="AS54" s="1"/>
  <c r="AN57"/>
  <c r="AM58"/>
  <c r="AS58" s="1"/>
  <c r="AN69"/>
  <c r="AN71"/>
  <c r="AN73"/>
  <c r="AS73" s="1"/>
  <c r="AN74"/>
  <c r="AM77"/>
  <c r="AN83"/>
  <c r="AM85"/>
  <c r="AM95"/>
  <c r="AM130"/>
  <c r="AM270"/>
  <c r="AM306"/>
  <c r="AM386"/>
  <c r="AM390"/>
  <c r="AM420"/>
  <c r="AM428"/>
  <c r="AM538"/>
  <c r="AM540"/>
  <c r="AM732"/>
  <c r="AN733"/>
  <c r="AS611"/>
  <c r="AS631"/>
  <c r="AS714"/>
  <c r="AS868"/>
  <c r="AS377"/>
  <c r="AS309"/>
  <c r="AS279"/>
  <c r="AS98"/>
  <c r="AN20"/>
  <c r="AN21"/>
  <c r="AN25"/>
  <c r="AN62"/>
  <c r="AM86"/>
  <c r="AN88"/>
  <c r="AM126"/>
  <c r="AM128"/>
  <c r="AM136"/>
  <c r="AT136"/>
  <c r="AM176"/>
  <c r="AM246"/>
  <c r="AM312"/>
  <c r="AM326"/>
  <c r="AT326"/>
  <c r="AM338"/>
  <c r="AS338" s="1"/>
  <c r="AM352"/>
  <c r="AT352"/>
  <c r="AM456"/>
  <c r="AM460"/>
  <c r="AM484"/>
  <c r="AM520"/>
  <c r="AM532"/>
  <c r="AM548"/>
  <c r="AM550"/>
  <c r="AM564"/>
  <c r="AM594"/>
  <c r="AN699"/>
  <c r="AN709"/>
  <c r="AM754"/>
  <c r="AN763"/>
  <c r="AM776"/>
  <c r="AN789"/>
  <c r="AN805"/>
  <c r="AM824"/>
  <c r="AM828"/>
  <c r="AT93"/>
  <c r="AS90"/>
  <c r="G94" i="29"/>
  <c r="G94" i="30" s="1"/>
  <c r="G92" i="29"/>
  <c r="G92" i="30" s="1"/>
  <c r="AT164" i="1"/>
  <c r="AM388"/>
  <c r="AM412"/>
  <c r="AM424"/>
  <c r="AM476"/>
  <c r="AM534"/>
  <c r="AM542"/>
  <c r="AM560"/>
  <c r="AM586"/>
  <c r="AM734"/>
  <c r="AM744"/>
  <c r="AM746"/>
  <c r="AM770"/>
  <c r="AM808"/>
  <c r="S67" i="33"/>
  <c r="AT337" i="1"/>
  <c r="M63" i="4"/>
  <c r="G63" i="8"/>
  <c r="M80" i="29"/>
  <c r="G80" i="30"/>
  <c r="AS140" i="1"/>
  <c r="AT372"/>
  <c r="AS529"/>
  <c r="AT597"/>
  <c r="AS884"/>
  <c r="AS846"/>
  <c r="AT711"/>
  <c r="AS578"/>
  <c r="AS382"/>
  <c r="AS357"/>
  <c r="AS195"/>
  <c r="AS182"/>
  <c r="AT166"/>
  <c r="AS164"/>
  <c r="G36" i="29"/>
  <c r="G36" i="30" s="1"/>
  <c r="G64" i="29"/>
  <c r="G64" i="30" s="1"/>
  <c r="G66" s="1"/>
  <c r="G61" i="29"/>
  <c r="H76" i="7"/>
  <c r="H66"/>
  <c r="H67" s="1"/>
  <c r="AS848" i="1"/>
  <c r="AT713"/>
  <c r="AT340"/>
  <c r="AS291"/>
  <c r="AT230"/>
  <c r="AT229"/>
  <c r="AT188"/>
  <c r="AT153"/>
  <c r="AS147"/>
  <c r="AT138"/>
  <c r="AS111"/>
  <c r="AS96"/>
  <c r="AS92"/>
  <c r="G19" i="29"/>
  <c r="G19" i="30" s="1"/>
  <c r="G32" i="4"/>
  <c r="G32" i="8" s="1"/>
  <c r="AT339" i="1"/>
  <c r="AM17"/>
  <c r="AM19"/>
  <c r="AM63"/>
  <c r="AM79"/>
  <c r="AS79" s="1"/>
  <c r="AM81"/>
  <c r="AM83"/>
  <c r="AT156"/>
  <c r="AT158"/>
  <c r="AM172"/>
  <c r="AM190"/>
  <c r="AT219"/>
  <c r="AT223"/>
  <c r="AM410"/>
  <c r="AM490"/>
  <c r="AM528"/>
  <c r="AT349"/>
  <c r="AT354"/>
  <c r="AT361"/>
  <c r="AS737"/>
  <c r="AM782"/>
  <c r="AM812"/>
  <c r="AM117"/>
  <c r="AT838"/>
  <c r="G52" i="29"/>
  <c r="G52" i="30" s="1"/>
  <c r="AT248" i="1"/>
  <c r="AT249"/>
  <c r="AT145"/>
  <c r="AT144"/>
  <c r="AT165"/>
  <c r="AM55"/>
  <c r="AS55" s="1"/>
  <c r="AT23"/>
  <c r="AA904"/>
  <c r="AA905"/>
  <c r="AM568"/>
  <c r="G18" i="8"/>
  <c r="M18" s="1"/>
  <c r="M18" i="4"/>
  <c r="Y888" i="1"/>
  <c r="Z888"/>
  <c r="T888" i="27"/>
  <c r="T894"/>
  <c r="T4" s="1"/>
  <c r="AT873" i="1"/>
  <c r="AS869"/>
  <c r="AS874"/>
  <c r="AA874"/>
  <c r="AP874" s="1"/>
  <c r="AT874" s="1"/>
  <c r="AA870"/>
  <c r="AP870" s="1"/>
  <c r="AT870" s="1"/>
  <c r="AS844"/>
  <c r="AS838"/>
  <c r="AS832"/>
  <c r="R890" i="27"/>
  <c r="R13" s="1"/>
  <c r="AT580" i="1"/>
  <c r="G51" i="29"/>
  <c r="AN577" i="1"/>
  <c r="AN576"/>
  <c r="AS576" s="1"/>
  <c r="AS567"/>
  <c r="AS570"/>
  <c r="G74" i="29"/>
  <c r="G74" i="30" s="1"/>
  <c r="G75" i="29"/>
  <c r="M46"/>
  <c r="G46" i="30"/>
  <c r="AN376" i="1"/>
  <c r="AN373"/>
  <c r="AT351"/>
  <c r="G33" i="4"/>
  <c r="G33" i="8" s="1"/>
  <c r="AN343" i="1"/>
  <c r="AS343" s="1"/>
  <c r="AN341"/>
  <c r="AS341" s="1"/>
  <c r="AS335"/>
  <c r="AN331"/>
  <c r="G49" i="4"/>
  <c r="G49" i="8" s="1"/>
  <c r="AS301" i="1"/>
  <c r="AS288"/>
  <c r="H78" i="7"/>
  <c r="G40" i="4" s="1"/>
  <c r="G40" i="8" s="1"/>
  <c r="G84" i="4"/>
  <c r="G86" i="8"/>
  <c r="AT221" i="1"/>
  <c r="AN197"/>
  <c r="G78" i="8"/>
  <c r="AT168" i="1"/>
  <c r="AN172"/>
  <c r="AN171"/>
  <c r="AN170"/>
  <c r="AS152"/>
  <c r="AT152"/>
  <c r="AT124"/>
  <c r="AA133"/>
  <c r="AS16"/>
  <c r="H84" i="7"/>
  <c r="H44" s="1"/>
  <c r="S829" i="27"/>
  <c r="S890" s="1"/>
  <c r="S13" s="1"/>
  <c r="M24" i="4"/>
  <c r="G24" i="8"/>
  <c r="M13" i="4"/>
  <c r="G13" i="8"/>
  <c r="G16" i="4"/>
  <c r="G16" i="8" s="1"/>
  <c r="AN59" i="1"/>
  <c r="AA56"/>
  <c r="AP56" s="1"/>
  <c r="T904" i="27"/>
  <c r="T905"/>
  <c r="Z54" i="1"/>
  <c r="AO54" s="1"/>
  <c r="AT54" s="1"/>
  <c r="R892" i="27"/>
  <c r="R2" s="1"/>
  <c r="AN26" i="1"/>
  <c r="Q890" i="27"/>
  <c r="Q13"/>
  <c r="R75" i="33"/>
  <c r="R73"/>
  <c r="S73"/>
  <c r="R74"/>
  <c r="AR217" i="1"/>
  <c r="AS740"/>
  <c r="S19" i="36"/>
  <c r="R19"/>
  <c r="S18"/>
  <c r="R18"/>
  <c r="R64" i="33"/>
  <c r="AS751" i="1"/>
  <c r="AS756"/>
  <c r="AS758"/>
  <c r="AS734"/>
  <c r="AN738"/>
  <c r="AN744"/>
  <c r="AN759"/>
  <c r="AS759" s="1"/>
  <c r="AN754"/>
  <c r="AS753"/>
  <c r="AN752"/>
  <c r="AN750"/>
  <c r="AN748"/>
  <c r="AN732"/>
  <c r="O26" i="36"/>
  <c r="B26" s="1"/>
  <c r="AN743" i="1"/>
  <c r="AN749"/>
  <c r="O31" i="36"/>
  <c r="N31" s="1"/>
  <c r="O13"/>
  <c r="O29"/>
  <c r="N29" s="1"/>
  <c r="P896" i="20"/>
  <c r="O13"/>
  <c r="AA910" i="1"/>
  <c r="W910"/>
  <c r="H45" i="4" s="1"/>
  <c r="H40" i="8"/>
  <c r="AT149" i="1"/>
  <c r="V829"/>
  <c r="O51" i="35"/>
  <c r="AH910" i="1"/>
  <c r="J45" i="4" s="1"/>
  <c r="AR149" i="1"/>
  <c r="AL910"/>
  <c r="R51" i="35"/>
  <c r="S51" s="1"/>
  <c r="T910" i="1"/>
  <c r="D45" i="4" s="1"/>
  <c r="K15" i="7"/>
  <c r="D32"/>
  <c r="AR261" i="1"/>
  <c r="G87" i="4"/>
  <c r="P67" i="33"/>
  <c r="P2" s="1"/>
  <c r="M34" i="29"/>
  <c r="N17"/>
  <c r="J27"/>
  <c r="G58"/>
  <c r="K27"/>
  <c r="N13"/>
  <c r="N16"/>
  <c r="G66"/>
  <c r="M14"/>
  <c r="M44"/>
  <c r="M108"/>
  <c r="M55"/>
  <c r="K53"/>
  <c r="N65"/>
  <c r="N34"/>
  <c r="K85"/>
  <c r="E102"/>
  <c r="N52"/>
  <c r="M57"/>
  <c r="K70"/>
  <c r="B25" i="36"/>
  <c r="D79" i="29"/>
  <c r="D79" i="30" s="1"/>
  <c r="AS739" i="1"/>
  <c r="O21" i="36"/>
  <c r="O30"/>
  <c r="G79" i="29"/>
  <c r="G79" i="30" s="1"/>
  <c r="O22" i="36"/>
  <c r="N34"/>
  <c r="G88" i="29"/>
  <c r="G88" i="30" s="1"/>
  <c r="D88" i="29"/>
  <c r="D88" i="30" s="1"/>
  <c r="N33" i="36"/>
  <c r="B33"/>
  <c r="N35"/>
  <c r="B35"/>
  <c r="J88" i="29"/>
  <c r="O27" i="36"/>
  <c r="O14"/>
  <c r="R66" i="35"/>
  <c r="S66"/>
  <c r="S14" i="36"/>
  <c r="R14" s="1"/>
  <c r="P892" i="20"/>
  <c r="P2" s="1"/>
  <c r="O15" i="36"/>
  <c r="P4" i="33"/>
  <c r="P81" i="4"/>
  <c r="M81" s="1"/>
  <c r="R4" i="33"/>
  <c r="G27" i="29"/>
  <c r="E85" i="30"/>
  <c r="E95" i="29"/>
  <c r="J38"/>
  <c r="N26"/>
  <c r="H22"/>
  <c r="H109"/>
  <c r="N60"/>
  <c r="N62"/>
  <c r="K22"/>
  <c r="M100"/>
  <c r="M25"/>
  <c r="J85"/>
  <c r="N80"/>
  <c r="N81" s="1"/>
  <c r="N50"/>
  <c r="K109"/>
  <c r="H102"/>
  <c r="N32"/>
  <c r="N15"/>
  <c r="N106"/>
  <c r="N94"/>
  <c r="N95" s="1"/>
  <c r="D27"/>
  <c r="M84"/>
  <c r="D53"/>
  <c r="E22"/>
  <c r="N36"/>
  <c r="E85"/>
  <c r="N24"/>
  <c r="N43"/>
  <c r="N45"/>
  <c r="N88"/>
  <c r="K66"/>
  <c r="H62" i="30"/>
  <c r="H70"/>
  <c r="M79" i="4"/>
  <c r="M32"/>
  <c r="H101"/>
  <c r="H50"/>
  <c r="M22"/>
  <c r="M19"/>
  <c r="E84"/>
  <c r="K26"/>
  <c r="J47"/>
  <c r="D101"/>
  <c r="H26"/>
  <c r="D34"/>
  <c r="M31"/>
  <c r="J50"/>
  <c r="J20"/>
  <c r="J87"/>
  <c r="M85"/>
  <c r="D23"/>
  <c r="D26"/>
  <c r="N55"/>
  <c r="N56" s="1"/>
  <c r="N13"/>
  <c r="M17"/>
  <c r="N22"/>
  <c r="H93"/>
  <c r="E56"/>
  <c r="J84"/>
  <c r="K20"/>
  <c r="H87"/>
  <c r="H84"/>
  <c r="K50"/>
  <c r="N86"/>
  <c r="N87" s="1"/>
  <c r="D56"/>
  <c r="N31"/>
  <c r="N34" s="1"/>
  <c r="N49"/>
  <c r="N47" s="1"/>
  <c r="K12"/>
  <c r="K30"/>
  <c r="E101"/>
  <c r="K84" i="8"/>
  <c r="G61"/>
  <c r="K60"/>
  <c r="G60"/>
  <c r="J60"/>
  <c r="K23"/>
  <c r="H61"/>
  <c r="J10"/>
  <c r="E61"/>
  <c r="E23"/>
  <c r="E26"/>
  <c r="E87"/>
  <c r="K87"/>
  <c r="K26"/>
  <c r="AN117" i="1"/>
  <c r="AN115"/>
  <c r="Z117"/>
  <c r="AO117" s="1"/>
  <c r="G29" i="29"/>
  <c r="G29" i="30"/>
  <c r="G21" i="29"/>
  <c r="G21" i="30"/>
  <c r="AA325" i="31"/>
  <c r="AA283"/>
  <c r="J21" i="29"/>
  <c r="J21" i="30"/>
  <c r="D21" i="29"/>
  <c r="D21" i="30" s="1"/>
  <c r="P87" i="4"/>
  <c r="P87" i="8" s="1"/>
  <c r="R34" i="33"/>
  <c r="N93" i="4"/>
  <c r="H66"/>
  <c r="H62" s="1"/>
  <c r="K37"/>
  <c r="K37" i="8" s="1"/>
  <c r="K36" i="4"/>
  <c r="K36" i="8" s="1"/>
  <c r="N49" i="29"/>
  <c r="E66"/>
  <c r="K12" i="8"/>
  <c r="K20"/>
  <c r="E12"/>
  <c r="E87" i="4"/>
  <c r="H56"/>
  <c r="D66" i="29"/>
  <c r="M26"/>
  <c r="J102"/>
  <c r="D95"/>
  <c r="K87" i="4"/>
  <c r="N84" i="29"/>
  <c r="N85" s="1"/>
  <c r="D152" i="33"/>
  <c r="H93" i="8"/>
  <c r="AM692" i="1"/>
  <c r="J29" i="29"/>
  <c r="J29" i="30" s="1"/>
  <c r="J65" i="4"/>
  <c r="D29" i="29"/>
  <c r="D29" i="30" s="1"/>
  <c r="S829" i="1"/>
  <c r="S890" s="1"/>
  <c r="G30" i="29"/>
  <c r="G30" i="30"/>
  <c r="V464" i="31"/>
  <c r="AS654" i="1"/>
  <c r="D30" i="29"/>
  <c r="D30" i="30"/>
  <c r="AG829" i="1"/>
  <c r="J30" i="29"/>
  <c r="K65" i="4"/>
  <c r="K65" i="8" s="1"/>
  <c r="V470" i="31"/>
  <c r="U470" s="1"/>
  <c r="S468"/>
  <c r="R13" i="20"/>
  <c r="R892"/>
  <c r="R2" s="1"/>
  <c r="G20" i="29"/>
  <c r="G20" i="30" s="1"/>
  <c r="AM648" i="1"/>
  <c r="R2" i="31"/>
  <c r="R470"/>
  <c r="E27" i="30"/>
  <c r="K85"/>
  <c r="M36" i="29"/>
  <c r="M16"/>
  <c r="M97"/>
  <c r="M47"/>
  <c r="G85"/>
  <c r="E38"/>
  <c r="E70"/>
  <c r="N69"/>
  <c r="N70" s="1"/>
  <c r="N98"/>
  <c r="E109"/>
  <c r="N104"/>
  <c r="H27" i="30"/>
  <c r="H27" i="29"/>
  <c r="H40" s="1"/>
  <c r="H53"/>
  <c r="N55"/>
  <c r="N58" s="1"/>
  <c r="K58"/>
  <c r="H66" i="30"/>
  <c r="H66" i="29"/>
  <c r="K90" i="30"/>
  <c r="K90" i="29"/>
  <c r="N97"/>
  <c r="N105"/>
  <c r="N107"/>
  <c r="K38"/>
  <c r="D109"/>
  <c r="N101"/>
  <c r="K81"/>
  <c r="N89"/>
  <c r="H85"/>
  <c r="M50"/>
  <c r="N25"/>
  <c r="N27" s="1"/>
  <c r="E62" i="30"/>
  <c r="K62"/>
  <c r="K70"/>
  <c r="E90"/>
  <c r="K66"/>
  <c r="M17" i="29"/>
  <c r="D85"/>
  <c r="M83"/>
  <c r="M85" s="1"/>
  <c r="M107"/>
  <c r="M89"/>
  <c r="M94"/>
  <c r="N66"/>
  <c r="G38"/>
  <c r="G81"/>
  <c r="K95"/>
  <c r="J15" i="7"/>
  <c r="M78"/>
  <c r="M15" s="1"/>
  <c r="N80"/>
  <c r="N23" s="1"/>
  <c r="J41" i="4"/>
  <c r="J41" i="8" s="1"/>
  <c r="G52" i="7"/>
  <c r="M30"/>
  <c r="M32" s="1"/>
  <c r="K32"/>
  <c r="H32"/>
  <c r="N14"/>
  <c r="N32"/>
  <c r="K69" i="4"/>
  <c r="K69" i="8" s="1"/>
  <c r="M76" i="7"/>
  <c r="M11" s="1"/>
  <c r="E37" i="4"/>
  <c r="E37" i="8" s="1"/>
  <c r="D11" i="7"/>
  <c r="M80"/>
  <c r="M23" s="1"/>
  <c r="E15"/>
  <c r="D43" i="4"/>
  <c r="D43" i="8" s="1"/>
  <c r="D41" i="4"/>
  <c r="D41" i="8" s="1"/>
  <c r="H82" i="7"/>
  <c r="N70" i="4"/>
  <c r="G41"/>
  <c r="G41" i="8" s="1"/>
  <c r="K11" i="7"/>
  <c r="M70" i="4"/>
  <c r="H42"/>
  <c r="H42" i="8" s="1"/>
  <c r="G23" i="7"/>
  <c r="D39"/>
  <c r="J32"/>
  <c r="M56"/>
  <c r="K69"/>
  <c r="J69"/>
  <c r="E41" i="4"/>
  <c r="E41" i="8" s="1"/>
  <c r="N88" i="7"/>
  <c r="N52" s="1"/>
  <c r="J69" i="4"/>
  <c r="J69" i="8" s="1"/>
  <c r="H71" i="4"/>
  <c r="H71" i="8" s="1"/>
  <c r="E36" i="4"/>
  <c r="E36" i="8" s="1"/>
  <c r="M82" i="7"/>
  <c r="M39" s="1"/>
  <c r="R67" i="33"/>
  <c r="E43" i="4"/>
  <c r="E43" i="8" s="1"/>
  <c r="D69" i="4"/>
  <c r="D69" i="8" s="1"/>
  <c r="M84" i="7"/>
  <c r="M44" s="1"/>
  <c r="K74" i="4"/>
  <c r="K42"/>
  <c r="K42" i="8"/>
  <c r="K71" i="4"/>
  <c r="K71" i="8"/>
  <c r="J71" i="4"/>
  <c r="J71" i="8"/>
  <c r="N78" i="7"/>
  <c r="N15" s="1"/>
  <c r="H74" i="4"/>
  <c r="H74" i="8" s="1"/>
  <c r="J74" i="4"/>
  <c r="J74" i="8" s="1"/>
  <c r="N82" i="7"/>
  <c r="N39" s="1"/>
  <c r="D23"/>
  <c r="K41" i="4"/>
  <c r="K41" i="8" s="1"/>
  <c r="K43" i="4"/>
  <c r="K43" i="8" s="1"/>
  <c r="E69" i="4"/>
  <c r="E69" i="8" s="1"/>
  <c r="J43" i="4"/>
  <c r="J43" i="8" s="1"/>
  <c r="O67" i="33"/>
  <c r="O2" s="1"/>
  <c r="E42" i="4"/>
  <c r="E42" i="8" s="1"/>
  <c r="H36" i="4"/>
  <c r="H36" i="8" s="1"/>
  <c r="M64" i="29"/>
  <c r="AS430" i="1"/>
  <c r="AT348"/>
  <c r="G15" i="4"/>
  <c r="G15" i="8" s="1"/>
  <c r="M33" i="4"/>
  <c r="AA899" i="1"/>
  <c r="G36" i="4"/>
  <c r="G36" i="8" s="1"/>
  <c r="M43" i="29"/>
  <c r="M48" i="4"/>
  <c r="A564" i="1"/>
  <c r="N564" s="1"/>
  <c r="AJ564" s="1"/>
  <c r="N563"/>
  <c r="AJ563"/>
  <c r="N44" i="4"/>
  <c r="P81" i="8"/>
  <c r="P44" i="4"/>
  <c r="R6" i="33"/>
  <c r="R59"/>
  <c r="K27" i="30"/>
  <c r="M24" i="29"/>
  <c r="J56" i="8"/>
  <c r="M18" i="29"/>
  <c r="AS408" i="1"/>
  <c r="AR211"/>
  <c r="G25" i="4"/>
  <c r="G25" i="8" s="1"/>
  <c r="G43" i="4"/>
  <c r="G43" i="8" s="1"/>
  <c r="G69" i="29"/>
  <c r="G69" i="30" s="1"/>
  <c r="O34" i="33"/>
  <c r="O4"/>
  <c r="J70" i="29"/>
  <c r="M72"/>
  <c r="M13"/>
  <c r="J22"/>
  <c r="J40" s="1"/>
  <c r="M106"/>
  <c r="J109"/>
  <c r="J66"/>
  <c r="M65"/>
  <c r="J56" i="4"/>
  <c r="J81" i="29"/>
  <c r="J35" i="4"/>
  <c r="M98" i="29"/>
  <c r="E66" i="30"/>
  <c r="D102" i="29"/>
  <c r="J30" i="4"/>
  <c r="M52" i="29"/>
  <c r="AT336" i="1"/>
  <c r="H23" i="7"/>
  <c r="AS705" i="1"/>
  <c r="M32" i="29"/>
  <c r="AM287" i="1"/>
  <c r="AS287" s="1"/>
  <c r="J12" i="4"/>
  <c r="AS264" i="1"/>
  <c r="D37" i="4"/>
  <c r="D37" i="8" s="1"/>
  <c r="D62" i="29"/>
  <c r="G99"/>
  <c r="G99" i="30" s="1"/>
  <c r="A559" i="1"/>
  <c r="N559"/>
  <c r="AJ559" s="1"/>
  <c r="H69" i="4"/>
  <c r="H69" i="8" s="1"/>
  <c r="AS417" i="1"/>
  <c r="AS651"/>
  <c r="AS371"/>
  <c r="G101" i="29"/>
  <c r="G101" i="30" s="1"/>
  <c r="M101" s="1"/>
  <c r="G93" i="29"/>
  <c r="G93" i="30" s="1"/>
  <c r="G15" i="29"/>
  <c r="G15" i="30" s="1"/>
  <c r="AK14" i="1"/>
  <c r="AM134"/>
  <c r="AR141"/>
  <c r="AM402"/>
  <c r="AM454"/>
  <c r="G92" i="8"/>
  <c r="G93" s="1"/>
  <c r="J104" i="4"/>
  <c r="D84"/>
  <c r="N26" i="36"/>
  <c r="J93" i="4"/>
  <c r="D57" i="30"/>
  <c r="D58" i="29"/>
  <c r="Q81" i="8"/>
  <c r="J53" i="29"/>
  <c r="J38" i="4"/>
  <c r="AS239" i="1"/>
  <c r="J26" i="4"/>
  <c r="J23"/>
  <c r="G90" i="29"/>
  <c r="AS761" i="1"/>
  <c r="J28" i="4"/>
  <c r="H12"/>
  <c r="D101" i="8"/>
  <c r="E93"/>
  <c r="D36" i="4"/>
  <c r="D36" i="8" s="1"/>
  <c r="M86" i="4"/>
  <c r="M84" s="1"/>
  <c r="J20" i="30"/>
  <c r="M10" i="4"/>
  <c r="K61"/>
  <c r="H20" i="30"/>
  <c r="E21"/>
  <c r="K21"/>
  <c r="H21"/>
  <c r="H18" i="8"/>
  <c r="N18" s="1"/>
  <c r="N18" i="4"/>
  <c r="E20" i="30"/>
  <c r="AT708" i="1"/>
  <c r="K20" i="30"/>
  <c r="AS774" i="1"/>
  <c r="P13" i="25"/>
  <c r="J61" i="30"/>
  <c r="J62" i="29"/>
  <c r="AS56" i="1"/>
  <c r="AS816"/>
  <c r="AS522"/>
  <c r="AS256"/>
  <c r="AT256"/>
  <c r="AS825"/>
  <c r="AS787"/>
  <c r="M16" i="4"/>
  <c r="N30"/>
  <c r="M49"/>
  <c r="M47" s="1"/>
  <c r="M105" i="29"/>
  <c r="G109"/>
  <c r="AS186" i="1"/>
  <c r="AS772"/>
  <c r="AS821"/>
  <c r="E48" i="7"/>
  <c r="D74" i="4"/>
  <c r="AS433" i="1"/>
  <c r="AT333"/>
  <c r="AS333"/>
  <c r="AS240"/>
  <c r="AT240"/>
  <c r="AR194"/>
  <c r="AS193"/>
  <c r="D90" i="29"/>
  <c r="AT299" i="1"/>
  <c r="AS57"/>
  <c r="AS409"/>
  <c r="AS196"/>
  <c r="AT196"/>
  <c r="AT318"/>
  <c r="AT375"/>
  <c r="AS590"/>
  <c r="AT599"/>
  <c r="G104" i="30"/>
  <c r="M104" s="1"/>
  <c r="M104" i="29"/>
  <c r="E111"/>
  <c r="K28" i="4"/>
  <c r="S2" i="33"/>
  <c r="P85" i="4" s="1"/>
  <c r="AT338" i="1"/>
  <c r="AS780"/>
  <c r="AS768"/>
  <c r="AS438"/>
  <c r="H15" i="8"/>
  <c r="G15" i="7"/>
  <c r="H41" i="4"/>
  <c r="H41" i="8" s="1"/>
  <c r="W890" i="1"/>
  <c r="W13" s="1"/>
  <c r="AS637"/>
  <c r="AS633"/>
  <c r="AS617"/>
  <c r="AS591"/>
  <c r="AT591"/>
  <c r="AT575"/>
  <c r="AS575"/>
  <c r="AS544"/>
  <c r="AS530"/>
  <c r="AS519"/>
  <c r="AS512"/>
  <c r="AR214"/>
  <c r="AR191"/>
  <c r="AS181"/>
  <c r="AR178"/>
  <c r="S17" i="36"/>
  <c r="R17" s="1"/>
  <c r="AR177" i="1"/>
  <c r="AT161"/>
  <c r="AS161"/>
  <c r="AR160"/>
  <c r="AL829"/>
  <c r="AS107"/>
  <c r="AT107"/>
  <c r="N68" i="30"/>
  <c r="N56"/>
  <c r="G56"/>
  <c r="M56" i="29"/>
  <c r="G60" i="30"/>
  <c r="M60" i="29"/>
  <c r="AS475" i="1"/>
  <c r="AS232"/>
  <c r="AT231"/>
  <c r="AS622"/>
  <c r="AS392"/>
  <c r="AS784"/>
  <c r="AS762"/>
  <c r="AS640"/>
  <c r="H25" i="8"/>
  <c r="H23" s="1"/>
  <c r="N25" i="4"/>
  <c r="N23" s="1"/>
  <c r="H43"/>
  <c r="H43" i="8" s="1"/>
  <c r="N43" s="1"/>
  <c r="H23" i="4"/>
  <c r="AS507" i="1"/>
  <c r="AS499"/>
  <c r="AS495"/>
  <c r="AS478"/>
  <c r="AS466"/>
  <c r="AS419"/>
  <c r="AS416"/>
  <c r="AS415"/>
  <c r="AT415"/>
  <c r="AS405"/>
  <c r="AS404"/>
  <c r="AS391"/>
  <c r="AS374"/>
  <c r="AT374"/>
  <c r="AS345"/>
  <c r="AS321"/>
  <c r="AS308"/>
  <c r="AT308"/>
  <c r="AT307"/>
  <c r="AS307"/>
  <c r="AR213"/>
  <c r="AS212"/>
  <c r="AS207"/>
  <c r="AR203"/>
  <c r="AS201"/>
  <c r="AR192"/>
  <c r="H79" i="8"/>
  <c r="N79" i="4"/>
  <c r="D93" i="8"/>
  <c r="AS463" i="1"/>
  <c r="N36" i="4"/>
  <c r="G37"/>
  <c r="G37" i="8" s="1"/>
  <c r="K74"/>
  <c r="N84" i="7"/>
  <c r="N44" s="1"/>
  <c r="K35" i="4"/>
  <c r="H11" i="7"/>
  <c r="AT587" i="1"/>
  <c r="AS572"/>
  <c r="AS304"/>
  <c r="AT304"/>
  <c r="AT298"/>
  <c r="AS298"/>
  <c r="G50" i="4"/>
  <c r="AS183" i="1"/>
  <c r="AS189"/>
  <c r="AT189"/>
  <c r="AS200"/>
  <c r="AT227"/>
  <c r="AS227"/>
  <c r="AS237"/>
  <c r="AS241"/>
  <c r="AS268"/>
  <c r="AS272"/>
  <c r="AS274"/>
  <c r="AS280"/>
  <c r="AS205"/>
  <c r="AS271"/>
  <c r="AS185"/>
  <c r="AS199"/>
  <c r="AS204"/>
  <c r="AS208"/>
  <c r="AS215"/>
  <c r="AS238"/>
  <c r="AS245"/>
  <c r="AS257"/>
  <c r="AS263"/>
  <c r="AS273"/>
  <c r="AS284"/>
  <c r="AS187"/>
  <c r="AS211"/>
  <c r="AS258"/>
  <c r="AS136"/>
  <c r="G47" i="4"/>
  <c r="AS582" i="1"/>
  <c r="AS496"/>
  <c r="AS300"/>
  <c r="AS87"/>
  <c r="AS370"/>
  <c r="AS20"/>
  <c r="AS464"/>
  <c r="AT334"/>
  <c r="AS334"/>
  <c r="AT296"/>
  <c r="AS296"/>
  <c r="AS101"/>
  <c r="G64" i="8"/>
  <c r="AS808" i="1"/>
  <c r="AS770"/>
  <c r="AS828"/>
  <c r="AS805"/>
  <c r="AS763"/>
  <c r="AS594"/>
  <c r="AS564"/>
  <c r="AS520"/>
  <c r="AS456"/>
  <c r="AS128"/>
  <c r="AT21"/>
  <c r="AS21"/>
  <c r="AS733"/>
  <c r="AS428"/>
  <c r="AS390"/>
  <c r="AS386"/>
  <c r="AS130"/>
  <c r="AS352"/>
  <c r="AS548"/>
  <c r="AS460"/>
  <c r="AS560"/>
  <c r="AS542"/>
  <c r="AS534"/>
  <c r="AS476"/>
  <c r="AS424"/>
  <c r="AS412"/>
  <c r="AS388"/>
  <c r="AS776"/>
  <c r="AS550"/>
  <c r="AS532"/>
  <c r="AS484"/>
  <c r="AT312"/>
  <c r="AS312"/>
  <c r="AS246"/>
  <c r="AT246"/>
  <c r="AS176"/>
  <c r="AS126"/>
  <c r="AT126"/>
  <c r="AT88"/>
  <c r="AS88"/>
  <c r="AS86"/>
  <c r="AS62"/>
  <c r="AS25"/>
  <c r="AS586"/>
  <c r="AS699"/>
  <c r="AS746"/>
  <c r="AS540"/>
  <c r="AS306"/>
  <c r="AT306"/>
  <c r="AS270"/>
  <c r="AS95"/>
  <c r="AT85"/>
  <c r="AS85"/>
  <c r="AS77"/>
  <c r="AS74"/>
  <c r="AS71"/>
  <c r="AS24"/>
  <c r="AS420"/>
  <c r="AS789"/>
  <c r="AS709"/>
  <c r="AS538"/>
  <c r="AS326"/>
  <c r="AS824"/>
  <c r="AS69"/>
  <c r="G68" i="30"/>
  <c r="M68" i="29"/>
  <c r="AS410" i="1"/>
  <c r="AS81"/>
  <c r="AS63"/>
  <c r="AS19"/>
  <c r="AT79"/>
  <c r="G61" i="30"/>
  <c r="G62" i="29"/>
  <c r="M61"/>
  <c r="M62" s="1"/>
  <c r="AS17" i="1"/>
  <c r="M27" i="29"/>
  <c r="AS812" i="1"/>
  <c r="AS782"/>
  <c r="AS528"/>
  <c r="AS490"/>
  <c r="AS190"/>
  <c r="AS83"/>
  <c r="G34" i="4"/>
  <c r="G30"/>
  <c r="AS568" i="1"/>
  <c r="G104" i="4"/>
  <c r="AA888" i="1"/>
  <c r="AA894" s="1"/>
  <c r="AA4" s="1"/>
  <c r="G51" i="30"/>
  <c r="M51" i="29"/>
  <c r="AS577" i="1"/>
  <c r="G75" i="30"/>
  <c r="M75" i="29"/>
  <c r="AS376" i="1"/>
  <c r="AT376"/>
  <c r="AS373"/>
  <c r="AT343"/>
  <c r="AT331"/>
  <c r="AS331"/>
  <c r="AS197"/>
  <c r="AS171"/>
  <c r="AT171"/>
  <c r="AS170"/>
  <c r="AS172"/>
  <c r="AT172"/>
  <c r="AS115"/>
  <c r="AA907"/>
  <c r="AA908"/>
  <c r="AS59"/>
  <c r="H86" i="7"/>
  <c r="AS26" i="1"/>
  <c r="J65" i="8"/>
  <c r="M88" i="29"/>
  <c r="M90" s="1"/>
  <c r="J88" i="30"/>
  <c r="J90" s="1"/>
  <c r="B29" i="36"/>
  <c r="K28" i="8"/>
  <c r="AS749" i="1"/>
  <c r="AS748"/>
  <c r="AS750"/>
  <c r="AS744"/>
  <c r="AS743"/>
  <c r="AS732"/>
  <c r="AS752"/>
  <c r="AS754"/>
  <c r="AS738"/>
  <c r="W892"/>
  <c r="W2" s="1"/>
  <c r="P51" i="35"/>
  <c r="M58" i="29"/>
  <c r="M79"/>
  <c r="M81" s="1"/>
  <c r="N21" i="36"/>
  <c r="B21"/>
  <c r="N30"/>
  <c r="B30"/>
  <c r="N22"/>
  <c r="B22"/>
  <c r="J90" i="29"/>
  <c r="N27" i="36"/>
  <c r="B27"/>
  <c r="N14"/>
  <c r="B14"/>
  <c r="B15"/>
  <c r="N15"/>
  <c r="N13"/>
  <c r="B13"/>
  <c r="H111" i="29"/>
  <c r="N101" i="4"/>
  <c r="D104" i="8"/>
  <c r="D59" i="39" s="1"/>
  <c r="E35" i="4"/>
  <c r="K72"/>
  <c r="M87"/>
  <c r="N84"/>
  <c r="J61" i="8"/>
  <c r="K10"/>
  <c r="V468" i="31"/>
  <c r="V4" s="1"/>
  <c r="M21" i="29"/>
  <c r="H77"/>
  <c r="N102"/>
  <c r="K38" i="4"/>
  <c r="N66" i="30"/>
  <c r="H101" i="8"/>
  <c r="H104"/>
  <c r="I59" i="39" s="1"/>
  <c r="I58" s="1"/>
  <c r="I57" s="1"/>
  <c r="H56" i="8"/>
  <c r="AS692" i="1"/>
  <c r="AG890"/>
  <c r="AG13" s="1"/>
  <c r="J66" i="4"/>
  <c r="K66"/>
  <c r="K62" s="1"/>
  <c r="J30" i="30"/>
  <c r="M30" i="29"/>
  <c r="S4" i="31"/>
  <c r="R468"/>
  <c r="AS648" i="1"/>
  <c r="M20" i="29"/>
  <c r="E70" i="30"/>
  <c r="D111" i="29"/>
  <c r="K81" i="30"/>
  <c r="N85"/>
  <c r="H85"/>
  <c r="N109" i="29"/>
  <c r="H39" i="7"/>
  <c r="G69" i="4"/>
  <c r="M41"/>
  <c r="E38"/>
  <c r="J72"/>
  <c r="K68"/>
  <c r="J68"/>
  <c r="AS402" i="1"/>
  <c r="G22" i="29"/>
  <c r="G40" s="1"/>
  <c r="M99"/>
  <c r="G102"/>
  <c r="AS454" i="1"/>
  <c r="AT134"/>
  <c r="AS134"/>
  <c r="AR14"/>
  <c r="G95" i="29"/>
  <c r="G111" s="1"/>
  <c r="M93"/>
  <c r="H68" i="4"/>
  <c r="N69"/>
  <c r="D38"/>
  <c r="M69" i="29"/>
  <c r="G70"/>
  <c r="M43" i="4"/>
  <c r="P44" i="8"/>
  <c r="M44" i="4"/>
  <c r="M30"/>
  <c r="M34"/>
  <c r="G20"/>
  <c r="G12"/>
  <c r="M15"/>
  <c r="M109" i="29"/>
  <c r="G26" i="4"/>
  <c r="G23"/>
  <c r="M25"/>
  <c r="M101" i="29"/>
  <c r="G35" i="4"/>
  <c r="M66" i="29"/>
  <c r="J77"/>
  <c r="N20" i="30"/>
  <c r="N21"/>
  <c r="M61" i="4"/>
  <c r="N10"/>
  <c r="N61"/>
  <c r="G38"/>
  <c r="U468" i="31"/>
  <c r="H26" i="8"/>
  <c r="N25"/>
  <c r="N26" s="1"/>
  <c r="N15"/>
  <c r="AT582" i="1"/>
  <c r="AT586"/>
  <c r="AT709"/>
  <c r="G62" i="30"/>
  <c r="AT373" i="1"/>
  <c r="G74" i="4"/>
  <c r="G74" i="8" s="1"/>
  <c r="K61"/>
  <c r="M10"/>
  <c r="N10" s="1"/>
  <c r="N61" s="1"/>
  <c r="G23"/>
  <c r="M12" i="4"/>
  <c r="G28"/>
  <c r="M26"/>
  <c r="M23"/>
  <c r="Q25" i="30"/>
  <c r="Q108" s="1"/>
  <c r="Q108" i="29"/>
  <c r="Q45"/>
  <c r="Q69" s="1"/>
  <c r="Q124" s="1"/>
  <c r="D69" i="7"/>
  <c r="D90"/>
  <c r="H72" i="4"/>
  <c r="D48" i="7"/>
  <c r="M86"/>
  <c r="M48" s="1"/>
  <c r="N43" i="4"/>
  <c r="E32" i="7"/>
  <c r="M36" i="4"/>
  <c r="D35"/>
  <c r="M37"/>
  <c r="N76" i="7"/>
  <c r="N11" s="1"/>
  <c r="E75" i="4"/>
  <c r="E77"/>
  <c r="E77" i="8" s="1"/>
  <c r="M38" i="4"/>
  <c r="AL888" i="1"/>
  <c r="AL894" s="1"/>
  <c r="AL4" s="1"/>
  <c r="J101" i="4"/>
  <c r="AD894" i="1"/>
  <c r="AD4"/>
  <c r="U66" i="35"/>
  <c r="AP905" i="1"/>
  <c r="AP904"/>
  <c r="S50" i="35"/>
  <c r="D163"/>
  <c r="U96"/>
  <c r="D195"/>
  <c r="B96"/>
  <c r="AR119" i="1"/>
  <c r="S829" i="26"/>
  <c r="S890" s="1"/>
  <c r="S13" s="1"/>
  <c r="AS118" i="1"/>
  <c r="AS114"/>
  <c r="X829"/>
  <c r="X914" s="1"/>
  <c r="X915" s="1"/>
  <c r="AS119"/>
  <c r="V914"/>
  <c r="V915" s="1"/>
  <c r="V890"/>
  <c r="V13" s="1"/>
  <c r="AT119"/>
  <c r="R892" i="25"/>
  <c r="R2" s="1"/>
  <c r="M88" i="7"/>
  <c r="M52" s="1"/>
  <c r="D52"/>
  <c r="E74" i="4"/>
  <c r="N74" s="1"/>
  <c r="E71"/>
  <c r="E72" s="1"/>
  <c r="E82"/>
  <c r="D71"/>
  <c r="E52" i="7"/>
  <c r="E68" i="4"/>
  <c r="N71"/>
  <c r="N68" s="1"/>
  <c r="D71" i="8"/>
  <c r="D72" i="4"/>
  <c r="G96" i="35"/>
  <c r="P122"/>
  <c r="P111"/>
  <c r="P123"/>
  <c r="O49"/>
  <c r="P95"/>
  <c r="E6" i="38"/>
  <c r="A3" i="31" s="1"/>
  <c r="R96" i="35"/>
  <c r="P112"/>
  <c r="P124"/>
  <c r="P113"/>
  <c r="S96"/>
  <c r="T124"/>
  <c r="R49"/>
  <c r="B99"/>
  <c r="B105"/>
  <c r="B113"/>
  <c r="B119"/>
  <c r="L121"/>
  <c r="O96"/>
  <c r="B102"/>
  <c r="B108"/>
  <c r="B116"/>
  <c r="M50" i="4"/>
  <c r="D50"/>
  <c r="D47"/>
  <c r="N50"/>
  <c r="E47"/>
  <c r="E50"/>
  <c r="AT287" i="1"/>
  <c r="AT288"/>
  <c r="AT197"/>
  <c r="D47" i="8"/>
  <c r="N42" i="4"/>
  <c r="E75" i="8"/>
  <c r="I6" i="38"/>
  <c r="B2" i="36" s="1"/>
  <c r="D50" i="8"/>
  <c r="A3" i="20"/>
  <c r="A3" i="35"/>
  <c r="AS667" i="1"/>
  <c r="AT667"/>
  <c r="D19" i="29"/>
  <c r="M19" s="1"/>
  <c r="E180" i="41"/>
  <c r="P8" i="31"/>
  <c r="S8"/>
  <c r="V8"/>
  <c r="F139" i="41"/>
  <c r="K464" i="31"/>
  <c r="R896" i="27"/>
  <c r="Y829" i="1"/>
  <c r="Y890" s="1"/>
  <c r="AP116"/>
  <c r="AT116" s="1"/>
  <c r="AO115"/>
  <c r="AP114"/>
  <c r="AT114" s="1"/>
  <c r="T115" i="20"/>
  <c r="T117"/>
  <c r="V115"/>
  <c r="V117"/>
  <c r="V117" i="26"/>
  <c r="V13" s="1"/>
  <c r="V10" s="1"/>
  <c r="T115"/>
  <c r="T117"/>
  <c r="V115"/>
  <c r="T117" i="27"/>
  <c r="V117"/>
  <c r="V115"/>
  <c r="T115"/>
  <c r="V117" i="25"/>
  <c r="T115"/>
  <c r="T117"/>
  <c r="V115"/>
  <c r="AH115" i="1"/>
  <c r="AH829" s="1"/>
  <c r="AH892" s="1"/>
  <c r="AH2" s="1"/>
  <c r="AV117"/>
  <c r="AX117"/>
  <c r="AX115"/>
  <c r="AH117"/>
  <c r="AV115"/>
  <c r="T115"/>
  <c r="T117"/>
  <c r="D42" i="4"/>
  <c r="D46" s="1"/>
  <c r="D45" i="8"/>
  <c r="D72"/>
  <c r="D68"/>
  <c r="D90" i="30"/>
  <c r="D81"/>
  <c r="H90" i="7"/>
  <c r="G82" i="4" s="1"/>
  <c r="H69" i="7"/>
  <c r="M35" i="30"/>
  <c r="M22" i="8"/>
  <c r="D58" i="39"/>
  <c r="D57" s="1"/>
  <c r="G35" i="8"/>
  <c r="G38"/>
  <c r="D35"/>
  <c r="M37"/>
  <c r="D38"/>
  <c r="Q48" i="4"/>
  <c r="Q48" i="8"/>
  <c r="M21" i="30"/>
  <c r="M65"/>
  <c r="J35" i="8"/>
  <c r="J38"/>
  <c r="N22"/>
  <c r="AP133" i="1"/>
  <c r="AT133" s="1"/>
  <c r="J75" i="4"/>
  <c r="K57" i="7"/>
  <c r="D74" i="8"/>
  <c r="G45" i="4"/>
  <c r="G45" i="8" s="1"/>
  <c r="H15" i="7"/>
  <c r="D15"/>
  <c r="H82" i="4"/>
  <c r="G80"/>
  <c r="G80" i="8" s="1"/>
  <c r="AS224" i="1"/>
  <c r="AS234"/>
  <c r="N75" i="30"/>
  <c r="K77" i="4"/>
  <c r="K77" i="8" s="1"/>
  <c r="K76" i="4"/>
  <c r="J57" i="7"/>
  <c r="K75" i="4"/>
  <c r="K75" i="8" s="1"/>
  <c r="E71"/>
  <c r="N71" s="1"/>
  <c r="AP151" i="1"/>
  <c r="S63" i="35"/>
  <c r="AP150" i="1"/>
  <c r="AT150" s="1"/>
  <c r="S62" i="35"/>
  <c r="Y273" i="31"/>
  <c r="X300"/>
  <c r="X273"/>
  <c r="AA273" s="1"/>
  <c r="Y300"/>
  <c r="K40" i="4"/>
  <c r="AT622" i="1"/>
  <c r="Q104" i="8"/>
  <c r="Q105"/>
  <c r="Q75"/>
  <c r="K82" i="4"/>
  <c r="AS52" i="1"/>
  <c r="AP160"/>
  <c r="G49" i="29"/>
  <c r="M49" s="1"/>
  <c r="AT61" i="1"/>
  <c r="N10" i="31"/>
  <c r="N32" i="30"/>
  <c r="AT366" i="1"/>
  <c r="E45" i="4"/>
  <c r="K45"/>
  <c r="K45" i="8" s="1"/>
  <c r="G49" i="30"/>
  <c r="AT151" i="1"/>
  <c r="K76" i="8"/>
  <c r="E68"/>
  <c r="K68" l="1"/>
  <c r="K72"/>
  <c r="AP898" i="1"/>
  <c r="AP899"/>
  <c r="AT369"/>
  <c r="AS89"/>
  <c r="AM829"/>
  <c r="AS840"/>
  <c r="AN888"/>
  <c r="K38" i="8"/>
  <c r="K35"/>
  <c r="AT155" i="1"/>
  <c r="AP910"/>
  <c r="K46" i="4"/>
  <c r="K52" s="1"/>
  <c r="K54" s="1"/>
  <c r="AA115" i="1"/>
  <c r="M105" i="30"/>
  <c r="AS43" i="1"/>
  <c r="AS44"/>
  <c r="AS45"/>
  <c r="G84" i="8"/>
  <c r="M19"/>
  <c r="AS31" i="1"/>
  <c r="AS32"/>
  <c r="AS33"/>
  <c r="AS34"/>
  <c r="AS35"/>
  <c r="AS36"/>
  <c r="AS37"/>
  <c r="J73" i="4"/>
  <c r="J92" i="30"/>
  <c r="M92" i="29"/>
  <c r="M95" s="1"/>
  <c r="J95"/>
  <c r="J111" s="1"/>
  <c r="J113" s="1"/>
  <c r="B23" i="36"/>
  <c r="N23"/>
  <c r="R38"/>
  <c r="AT739" i="1"/>
  <c r="M34" i="30"/>
  <c r="G38"/>
  <c r="AV763" i="1"/>
  <c r="AO763"/>
  <c r="B81" i="8"/>
  <c r="K80"/>
  <c r="T829" i="27"/>
  <c r="T829" i="26"/>
  <c r="T829" i="20"/>
  <c r="D19" i="30"/>
  <c r="M19" s="1"/>
  <c r="A3" i="27"/>
  <c r="A3" i="26"/>
  <c r="E74" i="8"/>
  <c r="N74" s="1"/>
  <c r="M61"/>
  <c r="M75" i="30"/>
  <c r="G70"/>
  <c r="G22"/>
  <c r="G40" s="1"/>
  <c r="G87" i="8"/>
  <c r="M52" i="30"/>
  <c r="N51"/>
  <c r="M61"/>
  <c r="AT640" i="1"/>
  <c r="AS726"/>
  <c r="M56" i="30"/>
  <c r="M48" i="8"/>
  <c r="H81"/>
  <c r="AP879" i="1"/>
  <c r="AT879" s="1"/>
  <c r="AP869"/>
  <c r="AT869" s="1"/>
  <c r="AS862"/>
  <c r="AP857"/>
  <c r="AS854"/>
  <c r="AO853"/>
  <c r="AT853" s="1"/>
  <c r="AO851"/>
  <c r="AP849"/>
  <c r="AP844"/>
  <c r="AT844" s="1"/>
  <c r="AP843"/>
  <c r="AT843" s="1"/>
  <c r="AO827"/>
  <c r="AT827" s="1"/>
  <c r="AO813"/>
  <c r="AT813" s="1"/>
  <c r="AO811"/>
  <c r="AP807"/>
  <c r="AO793"/>
  <c r="D37" i="29"/>
  <c r="AO791" i="1"/>
  <c r="AT791" s="1"/>
  <c r="AO789"/>
  <c r="AO787"/>
  <c r="AT787" s="1"/>
  <c r="AP761"/>
  <c r="AO757"/>
  <c r="AO755"/>
  <c r="AP743"/>
  <c r="AP737"/>
  <c r="AO733"/>
  <c r="AO723"/>
  <c r="AO719"/>
  <c r="AP717"/>
  <c r="AO677"/>
  <c r="AP675"/>
  <c r="AP661"/>
  <c r="AP653"/>
  <c r="AO638"/>
  <c r="AO636"/>
  <c r="J83" i="4"/>
  <c r="J89" s="1"/>
  <c r="J91" s="1"/>
  <c r="K40" i="8"/>
  <c r="G77" i="4"/>
  <c r="G77" i="8" s="1"/>
  <c r="J42" i="4"/>
  <c r="J42" i="8" s="1"/>
  <c r="M74"/>
  <c r="G85" i="30"/>
  <c r="G81" i="8"/>
  <c r="M32" i="30"/>
  <c r="G58"/>
  <c r="M51"/>
  <c r="M24"/>
  <c r="D81" i="8"/>
  <c r="D20" i="30"/>
  <c r="J81" i="8"/>
  <c r="M26" i="30"/>
  <c r="AO857" i="1"/>
  <c r="AT857" s="1"/>
  <c r="AP851"/>
  <c r="AD890"/>
  <c r="AP811"/>
  <c r="AP799"/>
  <c r="AP793"/>
  <c r="AP789"/>
  <c r="AP763"/>
  <c r="AV762"/>
  <c r="AX760"/>
  <c r="AP757"/>
  <c r="AP755"/>
  <c r="AO753"/>
  <c r="AT753" s="1"/>
  <c r="AO751"/>
  <c r="AT751" s="1"/>
  <c r="AO745"/>
  <c r="AO743"/>
  <c r="AT743" s="1"/>
  <c r="AO741"/>
  <c r="AT741" s="1"/>
  <c r="AO737"/>
  <c r="AT737" s="1"/>
  <c r="AP725"/>
  <c r="AP723"/>
  <c r="AP719"/>
  <c r="AO717"/>
  <c r="AT717" s="1"/>
  <c r="AP695"/>
  <c r="AT695" s="1"/>
  <c r="AP687"/>
  <c r="AT687" s="1"/>
  <c r="AO683"/>
  <c r="AT683" s="1"/>
  <c r="AP681"/>
  <c r="AT681" s="1"/>
  <c r="AO679"/>
  <c r="AT679" s="1"/>
  <c r="AO671"/>
  <c r="AO663"/>
  <c r="AT663" s="1"/>
  <c r="AP660"/>
  <c r="AT660" s="1"/>
  <c r="AP658"/>
  <c r="AO657"/>
  <c r="AP655"/>
  <c r="AT655" s="1"/>
  <c r="AO654"/>
  <c r="AO648"/>
  <c r="AT648" s="1"/>
  <c r="AP647"/>
  <c r="AO646"/>
  <c r="AP645"/>
  <c r="AO644"/>
  <c r="AO642"/>
  <c r="AP641"/>
  <c r="AT641" s="1"/>
  <c r="AP639"/>
  <c r="AP637"/>
  <c r="AP619"/>
  <c r="AO616"/>
  <c r="AP615"/>
  <c r="AP612"/>
  <c r="AP610"/>
  <c r="AP606"/>
  <c r="AP603"/>
  <c r="AO602"/>
  <c r="AT602" s="1"/>
  <c r="AO595"/>
  <c r="AO562"/>
  <c r="AT562" s="1"/>
  <c r="AO555"/>
  <c r="AP554"/>
  <c r="AP546"/>
  <c r="AP538"/>
  <c r="AP534"/>
  <c r="AO530"/>
  <c r="AO527"/>
  <c r="AP517"/>
  <c r="AT517" s="1"/>
  <c r="AP515"/>
  <c r="AP514"/>
  <c r="AP511"/>
  <c r="AO506"/>
  <c r="AO504"/>
  <c r="AT504" s="1"/>
  <c r="AO495"/>
  <c r="AP493"/>
  <c r="AO487"/>
  <c r="AP480"/>
  <c r="AO479"/>
  <c r="AP477"/>
  <c r="AP469"/>
  <c r="AT469" s="1"/>
  <c r="AP467"/>
  <c r="AO465"/>
  <c r="AP463"/>
  <c r="AP461"/>
  <c r="AO459"/>
  <c r="AP457"/>
  <c r="AP455"/>
  <c r="AT455" s="1"/>
  <c r="AP453"/>
  <c r="AP452"/>
  <c r="AP450"/>
  <c r="AP447"/>
  <c r="AT447" s="1"/>
  <c r="AX440"/>
  <c r="AX439"/>
  <c r="AX13" s="1"/>
  <c r="AP436"/>
  <c r="AT436" s="1"/>
  <c r="AP434"/>
  <c r="AO430"/>
  <c r="AO428"/>
  <c r="AT428" s="1"/>
  <c r="AP425"/>
  <c r="AO423"/>
  <c r="AT423" s="1"/>
  <c r="AP421"/>
  <c r="AO420"/>
  <c r="AT420" s="1"/>
  <c r="AP418"/>
  <c r="AP416"/>
  <c r="AT416" s="1"/>
  <c r="AP414"/>
  <c r="AP412"/>
  <c r="AT412" s="1"/>
  <c r="AO410"/>
  <c r="AP400"/>
  <c r="AP398"/>
  <c r="AP394"/>
  <c r="AP345"/>
  <c r="AP215"/>
  <c r="AP209"/>
  <c r="AO201"/>
  <c r="AO182"/>
  <c r="AO180"/>
  <c r="AP128"/>
  <c r="AT128" s="1"/>
  <c r="K81" i="8"/>
  <c r="E80"/>
  <c r="E78"/>
  <c r="AP883" i="1"/>
  <c r="AO882"/>
  <c r="AP881"/>
  <c r="AO880"/>
  <c r="AO878"/>
  <c r="AP877"/>
  <c r="AO876"/>
  <c r="AP875"/>
  <c r="AT875" s="1"/>
  <c r="AP872"/>
  <c r="AT872" s="1"/>
  <c r="AP871"/>
  <c r="AT871" s="1"/>
  <c r="AP868"/>
  <c r="AT868" s="1"/>
  <c r="AP855"/>
  <c r="AO854"/>
  <c r="AP828"/>
  <c r="AP826"/>
  <c r="AO825"/>
  <c r="AP824"/>
  <c r="AO823"/>
  <c r="AP822"/>
  <c r="AO821"/>
  <c r="AP820"/>
  <c r="AO819"/>
  <c r="AP818"/>
  <c r="AO817"/>
  <c r="AP816"/>
  <c r="AO815"/>
  <c r="AP814"/>
  <c r="AP812"/>
  <c r="AP810"/>
  <c r="AO809"/>
  <c r="AP808"/>
  <c r="AO806"/>
  <c r="AP805"/>
  <c r="AO804"/>
  <c r="AP803"/>
  <c r="AO802"/>
  <c r="AP801"/>
  <c r="AO800"/>
  <c r="AO799"/>
  <c r="AT799" s="1"/>
  <c r="AP798"/>
  <c r="AO797"/>
  <c r="AP796"/>
  <c r="AO795"/>
  <c r="AP794"/>
  <c r="AP792"/>
  <c r="AP790"/>
  <c r="AP788"/>
  <c r="AP786"/>
  <c r="AO785"/>
  <c r="AP784"/>
  <c r="AO783"/>
  <c r="AP782"/>
  <c r="AO781"/>
  <c r="AP780"/>
  <c r="AO779"/>
  <c r="AP778"/>
  <c r="AO777"/>
  <c r="AP776"/>
  <c r="AO775"/>
  <c r="AP774"/>
  <c r="AO773"/>
  <c r="AP772"/>
  <c r="AO771"/>
  <c r="AP770"/>
  <c r="AO769"/>
  <c r="AP768"/>
  <c r="AO767"/>
  <c r="AP766"/>
  <c r="AO765"/>
  <c r="AP764"/>
  <c r="AP762"/>
  <c r="AP760"/>
  <c r="AO759"/>
  <c r="AP758"/>
  <c r="AP756"/>
  <c r="AP754"/>
  <c r="AP752"/>
  <c r="AP750"/>
  <c r="AO749"/>
  <c r="AP748"/>
  <c r="AO747"/>
  <c r="AP746"/>
  <c r="AP738"/>
  <c r="AP736"/>
  <c r="AO735"/>
  <c r="AP734"/>
  <c r="AO732"/>
  <c r="AP731"/>
  <c r="AO730"/>
  <c r="AP729"/>
  <c r="AO728"/>
  <c r="AP727"/>
  <c r="AO726"/>
  <c r="AO725"/>
  <c r="AT725" s="1"/>
  <c r="AP724"/>
  <c r="AP722"/>
  <c r="AO721"/>
  <c r="AP720"/>
  <c r="AO703"/>
  <c r="AP702"/>
  <c r="AO701"/>
  <c r="AP700"/>
  <c r="AO699"/>
  <c r="AP698"/>
  <c r="AO697"/>
  <c r="AP696"/>
  <c r="AP694"/>
  <c r="AO693"/>
  <c r="AP692"/>
  <c r="AO691"/>
  <c r="AP690"/>
  <c r="AO689"/>
  <c r="AP688"/>
  <c r="AP686"/>
  <c r="AO684"/>
  <c r="AO682"/>
  <c r="AO680"/>
  <c r="AO678"/>
  <c r="AP677"/>
  <c r="AP676"/>
  <c r="AO674"/>
  <c r="AP673"/>
  <c r="AO672"/>
  <c r="AP671"/>
  <c r="AP670"/>
  <c r="AO669"/>
  <c r="AP668"/>
  <c r="AP666"/>
  <c r="AO665"/>
  <c r="AP664"/>
  <c r="AP662"/>
  <c r="AP659"/>
  <c r="AP657"/>
  <c r="AP656"/>
  <c r="AO647"/>
  <c r="AP646"/>
  <c r="AO645"/>
  <c r="AP644"/>
  <c r="AO643"/>
  <c r="AT643" s="1"/>
  <c r="AP642"/>
  <c r="AO618"/>
  <c r="AT618" s="1"/>
  <c r="AP617"/>
  <c r="AO614"/>
  <c r="AT614" s="1"/>
  <c r="AP611"/>
  <c r="AT611" s="1"/>
  <c r="AO609"/>
  <c r="AP607"/>
  <c r="AP605"/>
  <c r="AO598"/>
  <c r="AO596"/>
  <c r="AO594"/>
  <c r="AP593"/>
  <c r="AO592"/>
  <c r="AO590"/>
  <c r="AP578"/>
  <c r="AT578" s="1"/>
  <c r="AP577"/>
  <c r="AT577" s="1"/>
  <c r="AP576"/>
  <c r="AT576" s="1"/>
  <c r="AP651"/>
  <c r="AO632"/>
  <c r="AO628"/>
  <c r="AO624"/>
  <c r="AP609"/>
  <c r="AP588"/>
  <c r="AO565"/>
  <c r="AO550"/>
  <c r="AP541"/>
  <c r="AO532"/>
  <c r="AP399"/>
  <c r="AO345"/>
  <c r="AT345" s="1"/>
  <c r="AO278"/>
  <c r="AT278" s="1"/>
  <c r="AO274"/>
  <c r="AP213"/>
  <c r="AO204"/>
  <c r="AO200"/>
  <c r="AP58"/>
  <c r="AT58" s="1"/>
  <c r="AO619"/>
  <c r="AT612"/>
  <c r="AO610"/>
  <c r="AO538"/>
  <c r="AT538" s="1"/>
  <c r="AP530"/>
  <c r="AO514"/>
  <c r="AT514" s="1"/>
  <c r="AO513"/>
  <c r="AP506"/>
  <c r="AP495"/>
  <c r="AO493"/>
  <c r="AT493" s="1"/>
  <c r="AP487"/>
  <c r="AT480"/>
  <c r="AO463"/>
  <c r="AT457"/>
  <c r="AO452"/>
  <c r="AO450"/>
  <c r="AP445"/>
  <c r="AO434"/>
  <c r="AO433"/>
  <c r="AP430"/>
  <c r="AT425"/>
  <c r="AT418"/>
  <c r="AO414"/>
  <c r="AT414" s="1"/>
  <c r="AP410"/>
  <c r="AP396"/>
  <c r="AP392"/>
  <c r="AP390"/>
  <c r="AP388"/>
  <c r="AP386"/>
  <c r="AP265"/>
  <c r="AT265" s="1"/>
  <c r="AP259"/>
  <c r="AT259" s="1"/>
  <c r="AO215"/>
  <c r="AT215" s="1"/>
  <c r="AO209"/>
  <c r="AT209" s="1"/>
  <c r="AO207"/>
  <c r="AO205"/>
  <c r="AP184"/>
  <c r="AT184" s="1"/>
  <c r="AP182"/>
  <c r="AP180"/>
  <c r="AP174"/>
  <c r="AT174" s="1"/>
  <c r="K79" i="8"/>
  <c r="K78"/>
  <c r="AO883" i="1"/>
  <c r="AP882"/>
  <c r="AO881"/>
  <c r="AP880"/>
  <c r="AP878"/>
  <c r="AO877"/>
  <c r="AP876"/>
  <c r="AO855"/>
  <c r="AP854"/>
  <c r="AO828"/>
  <c r="AO826"/>
  <c r="AT826" s="1"/>
  <c r="AP825"/>
  <c r="AO824"/>
  <c r="AT824" s="1"/>
  <c r="AP823"/>
  <c r="AO822"/>
  <c r="AT822" s="1"/>
  <c r="AP821"/>
  <c r="AO820"/>
  <c r="AT820" s="1"/>
  <c r="AP819"/>
  <c r="AO818"/>
  <c r="AT818" s="1"/>
  <c r="AP817"/>
  <c r="AO816"/>
  <c r="AT816" s="1"/>
  <c r="AP815"/>
  <c r="AO814"/>
  <c r="AT814" s="1"/>
  <c r="AO812"/>
  <c r="AO810"/>
  <c r="AT810" s="1"/>
  <c r="AP809"/>
  <c r="AO808"/>
  <c r="AT808" s="1"/>
  <c r="AO807"/>
  <c r="AT807" s="1"/>
  <c r="AP806"/>
  <c r="AO805"/>
  <c r="AP804"/>
  <c r="AO803"/>
  <c r="AP802"/>
  <c r="AO801"/>
  <c r="AP800"/>
  <c r="AO798"/>
  <c r="AP797"/>
  <c r="AO796"/>
  <c r="AP795"/>
  <c r="AO794"/>
  <c r="AO792"/>
  <c r="AT792" s="1"/>
  <c r="AO790"/>
  <c r="AO788"/>
  <c r="AT788" s="1"/>
  <c r="AO786"/>
  <c r="AP785"/>
  <c r="AO784"/>
  <c r="AP783"/>
  <c r="AO782"/>
  <c r="AP781"/>
  <c r="AO780"/>
  <c r="AP779"/>
  <c r="AO778"/>
  <c r="AP777"/>
  <c r="AO776"/>
  <c r="AP775"/>
  <c r="AO774"/>
  <c r="AP773"/>
  <c r="AO772"/>
  <c r="AP771"/>
  <c r="AO770"/>
  <c r="AP769"/>
  <c r="AO768"/>
  <c r="AP767"/>
  <c r="AO766"/>
  <c r="AP765"/>
  <c r="AO764"/>
  <c r="AO762"/>
  <c r="AO760"/>
  <c r="AP759"/>
  <c r="AO758"/>
  <c r="AO756"/>
  <c r="AT756" s="1"/>
  <c r="AO754"/>
  <c r="AO752"/>
  <c r="AT752" s="1"/>
  <c r="AO750"/>
  <c r="AP749"/>
  <c r="AO748"/>
  <c r="AP747"/>
  <c r="AO746"/>
  <c r="AO738"/>
  <c r="AT738" s="1"/>
  <c r="AO736"/>
  <c r="AP735"/>
  <c r="AO734"/>
  <c r="AP733"/>
  <c r="AP732"/>
  <c r="AO731"/>
  <c r="AT731" s="1"/>
  <c r="AP730"/>
  <c r="AO729"/>
  <c r="AT729" s="1"/>
  <c r="AP728"/>
  <c r="AO727"/>
  <c r="AT727" s="1"/>
  <c r="AP726"/>
  <c r="AO724"/>
  <c r="AT724" s="1"/>
  <c r="AO722"/>
  <c r="AP721"/>
  <c r="AO720"/>
  <c r="AP703"/>
  <c r="AO702"/>
  <c r="AP701"/>
  <c r="AO700"/>
  <c r="AP699"/>
  <c r="AO698"/>
  <c r="AP697"/>
  <c r="AO696"/>
  <c r="AO694"/>
  <c r="AT694" s="1"/>
  <c r="AP693"/>
  <c r="AO692"/>
  <c r="AT692" s="1"/>
  <c r="AP691"/>
  <c r="AO690"/>
  <c r="AT690" s="1"/>
  <c r="AP689"/>
  <c r="AO688"/>
  <c r="AT688" s="1"/>
  <c r="AO686"/>
  <c r="AO685"/>
  <c r="AT685" s="1"/>
  <c r="AP684"/>
  <c r="AP682"/>
  <c r="AP680"/>
  <c r="AP678"/>
  <c r="AO676"/>
  <c r="AO675"/>
  <c r="AT675" s="1"/>
  <c r="AP674"/>
  <c r="AO673"/>
  <c r="AT673" s="1"/>
  <c r="AP672"/>
  <c r="AO670"/>
  <c r="AT670" s="1"/>
  <c r="AP669"/>
  <c r="AO668"/>
  <c r="AT668" s="1"/>
  <c r="AO666"/>
  <c r="AP665"/>
  <c r="AO664"/>
  <c r="AO662"/>
  <c r="AT662" s="1"/>
  <c r="AO661"/>
  <c r="AO659"/>
  <c r="AT659" s="1"/>
  <c r="AO656"/>
  <c r="AO653"/>
  <c r="AT653" s="1"/>
  <c r="AP652"/>
  <c r="AT652" s="1"/>
  <c r="AO651"/>
  <c r="AT651" s="1"/>
  <c r="AP650"/>
  <c r="AO649"/>
  <c r="AO639"/>
  <c r="AT639" s="1"/>
  <c r="AP638"/>
  <c r="AO637"/>
  <c r="AT637" s="1"/>
  <c r="AP636"/>
  <c r="AO635"/>
  <c r="AT635" s="1"/>
  <c r="AO633"/>
  <c r="AP632"/>
  <c r="AO631"/>
  <c r="AP630"/>
  <c r="AO629"/>
  <c r="AP628"/>
  <c r="AO627"/>
  <c r="AP626"/>
  <c r="AO625"/>
  <c r="AP624"/>
  <c r="AO623"/>
  <c r="AO617"/>
  <c r="AO607"/>
  <c r="AT607" s="1"/>
  <c r="AO605"/>
  <c r="AT605" s="1"/>
  <c r="AO603"/>
  <c r="AT603" s="1"/>
  <c r="AP598"/>
  <c r="AP596"/>
  <c r="AP594"/>
  <c r="AO593"/>
  <c r="AT593" s="1"/>
  <c r="AP592"/>
  <c r="AP590"/>
  <c r="AO588"/>
  <c r="AP565"/>
  <c r="AP563"/>
  <c r="AT563" s="1"/>
  <c r="AP561"/>
  <c r="AO560"/>
  <c r="AP559"/>
  <c r="AT559" s="1"/>
  <c r="AP557"/>
  <c r="AT557" s="1"/>
  <c r="AO556"/>
  <c r="AP845"/>
  <c r="AT845" s="1"/>
  <c r="AP649"/>
  <c r="AO630"/>
  <c r="AT630" s="1"/>
  <c r="AO626"/>
  <c r="AP600"/>
  <c r="AT600" s="1"/>
  <c r="AP556"/>
  <c r="AO548"/>
  <c r="AO282"/>
  <c r="AO276"/>
  <c r="AO206"/>
  <c r="AO194"/>
  <c r="AP555"/>
  <c r="AO554"/>
  <c r="AT554" s="1"/>
  <c r="AP553"/>
  <c r="AT553" s="1"/>
  <c r="AO551"/>
  <c r="AT551" s="1"/>
  <c r="AP550"/>
  <c r="AO549"/>
  <c r="AP548"/>
  <c r="AO547"/>
  <c r="AT547" s="1"/>
  <c r="AO546"/>
  <c r="AT546" s="1"/>
  <c r="AP545"/>
  <c r="AO544"/>
  <c r="AO543"/>
  <c r="AT543" s="1"/>
  <c r="AP542"/>
  <c r="AO541"/>
  <c r="AT541" s="1"/>
  <c r="AP540"/>
  <c r="AO539"/>
  <c r="AT539" s="1"/>
  <c r="AO537"/>
  <c r="AP536"/>
  <c r="AP529"/>
  <c r="AO522"/>
  <c r="AP521"/>
  <c r="AO520"/>
  <c r="AP519"/>
  <c r="AO518"/>
  <c r="AO516"/>
  <c r="AO515"/>
  <c r="AP512"/>
  <c r="AP510"/>
  <c r="AO509"/>
  <c r="AP508"/>
  <c r="AO507"/>
  <c r="AO505"/>
  <c r="AO503"/>
  <c r="AP502"/>
  <c r="AO501"/>
  <c r="AP500"/>
  <c r="AO499"/>
  <c r="AP498"/>
  <c r="AO497"/>
  <c r="AP496"/>
  <c r="AP494"/>
  <c r="AP492"/>
  <c r="AO490"/>
  <c r="AP489"/>
  <c r="AO488"/>
  <c r="AO486"/>
  <c r="AO485"/>
  <c r="AP484"/>
  <c r="AO483"/>
  <c r="AP482"/>
  <c r="AO481"/>
  <c r="AO477"/>
  <c r="AP476"/>
  <c r="AO475"/>
  <c r="AP474"/>
  <c r="AO473"/>
  <c r="AP472"/>
  <c r="AO471"/>
  <c r="AP470"/>
  <c r="AP468"/>
  <c r="AO466"/>
  <c r="AP465"/>
  <c r="AP464"/>
  <c r="AP462"/>
  <c r="AO460"/>
  <c r="AP459"/>
  <c r="AP456"/>
  <c r="AP451"/>
  <c r="AP449"/>
  <c r="AO446"/>
  <c r="AO445"/>
  <c r="AP444"/>
  <c r="AO443"/>
  <c r="AP442"/>
  <c r="AO441"/>
  <c r="AP440"/>
  <c r="AO439"/>
  <c r="AP438"/>
  <c r="AO435"/>
  <c r="AO432"/>
  <c r="AO431"/>
  <c r="AO424"/>
  <c r="AO422"/>
  <c r="AP365"/>
  <c r="AT365" s="1"/>
  <c r="AP364"/>
  <c r="AT364" s="1"/>
  <c r="AO344"/>
  <c r="AO330"/>
  <c r="AP329"/>
  <c r="AO328"/>
  <c r="AP327"/>
  <c r="AT327" s="1"/>
  <c r="AO322"/>
  <c r="AO279"/>
  <c r="AP260"/>
  <c r="AT260" s="1"/>
  <c r="AP258"/>
  <c r="AT258" s="1"/>
  <c r="AP257"/>
  <c r="AT257" s="1"/>
  <c r="AP244"/>
  <c r="AT244" s="1"/>
  <c r="AP243"/>
  <c r="AT243" s="1"/>
  <c r="AP242"/>
  <c r="AT242" s="1"/>
  <c r="AP241"/>
  <c r="AT241" s="1"/>
  <c r="AP238"/>
  <c r="AT238" s="1"/>
  <c r="AP228"/>
  <c r="AT228" s="1"/>
  <c r="AP222"/>
  <c r="AT222" s="1"/>
  <c r="AP220"/>
  <c r="AT220" s="1"/>
  <c r="AO218"/>
  <c r="AP210"/>
  <c r="AP208"/>
  <c r="AP200"/>
  <c r="AO199"/>
  <c r="AP198"/>
  <c r="AT198" s="1"/>
  <c r="AP195"/>
  <c r="AT195" s="1"/>
  <c r="AP194"/>
  <c r="AP190"/>
  <c r="AT190" s="1"/>
  <c r="AP186"/>
  <c r="AT186" s="1"/>
  <c r="AO183"/>
  <c r="AO179"/>
  <c r="AO177"/>
  <c r="AP176"/>
  <c r="AP173"/>
  <c r="AT173" s="1"/>
  <c r="AO160"/>
  <c r="AT160" s="1"/>
  <c r="AP140"/>
  <c r="AT140" s="1"/>
  <c r="AP130"/>
  <c r="AT130" s="1"/>
  <c r="AP127"/>
  <c r="AT127" s="1"/>
  <c r="AP125"/>
  <c r="AT125" s="1"/>
  <c r="AO121"/>
  <c r="AP120"/>
  <c r="AO71"/>
  <c r="AT71" s="1"/>
  <c r="AP69"/>
  <c r="AP64"/>
  <c r="AT64" s="1"/>
  <c r="AP63"/>
  <c r="AT63" s="1"/>
  <c r="AP62"/>
  <c r="AT62" s="1"/>
  <c r="P890" i="26"/>
  <c r="V761" i="27"/>
  <c r="V13" s="1"/>
  <c r="B108" i="30"/>
  <c r="E107"/>
  <c r="AO561" i="1"/>
  <c r="AT561" s="1"/>
  <c r="AP560"/>
  <c r="AP558"/>
  <c r="AT558" s="1"/>
  <c r="AP552"/>
  <c r="AT552" s="1"/>
  <c r="AO545"/>
  <c r="AT545" s="1"/>
  <c r="AP544"/>
  <c r="AP537"/>
  <c r="AO536"/>
  <c r="AT536" s="1"/>
  <c r="AO535"/>
  <c r="AT535" s="1"/>
  <c r="AO533"/>
  <c r="AP532"/>
  <c r="AO531"/>
  <c r="AT531" s="1"/>
  <c r="AO529"/>
  <c r="AT529" s="1"/>
  <c r="AO528"/>
  <c r="AP526"/>
  <c r="AP524"/>
  <c r="AO523"/>
  <c r="AT523" s="1"/>
  <c r="AP522"/>
  <c r="AO521"/>
  <c r="AT521" s="1"/>
  <c r="AP520"/>
  <c r="AO519"/>
  <c r="AT519" s="1"/>
  <c r="AP518"/>
  <c r="AP516"/>
  <c r="AO512"/>
  <c r="AT512" s="1"/>
  <c r="AO510"/>
  <c r="AT510" s="1"/>
  <c r="AP509"/>
  <c r="AO508"/>
  <c r="AT508" s="1"/>
  <c r="AP507"/>
  <c r="AP505"/>
  <c r="AP503"/>
  <c r="AO502"/>
  <c r="AT502" s="1"/>
  <c r="AP501"/>
  <c r="AO500"/>
  <c r="AT500" s="1"/>
  <c r="AP499"/>
  <c r="AO498"/>
  <c r="AT498" s="1"/>
  <c r="AP497"/>
  <c r="AO496"/>
  <c r="AT496" s="1"/>
  <c r="AO494"/>
  <c r="AT494" s="1"/>
  <c r="AO492"/>
  <c r="AT492" s="1"/>
  <c r="AO491"/>
  <c r="AP490"/>
  <c r="AO489"/>
  <c r="AT489" s="1"/>
  <c r="AP488"/>
  <c r="AP486"/>
  <c r="AO484"/>
  <c r="AT484" s="1"/>
  <c r="AP483"/>
  <c r="AO482"/>
  <c r="AT482" s="1"/>
  <c r="AP481"/>
  <c r="AP479"/>
  <c r="AO476"/>
  <c r="AT476" s="1"/>
  <c r="AP475"/>
  <c r="AO474"/>
  <c r="AT474" s="1"/>
  <c r="AP473"/>
  <c r="AO472"/>
  <c r="AT472" s="1"/>
  <c r="AP471"/>
  <c r="AO470"/>
  <c r="AT470" s="1"/>
  <c r="AO468"/>
  <c r="AT468" s="1"/>
  <c r="AO467"/>
  <c r="AP466"/>
  <c r="AO464"/>
  <c r="AT464" s="1"/>
  <c r="AO462"/>
  <c r="AT462" s="1"/>
  <c r="AO461"/>
  <c r="AP460"/>
  <c r="AO456"/>
  <c r="AT456" s="1"/>
  <c r="AO453"/>
  <c r="AO451"/>
  <c r="AT451" s="1"/>
  <c r="AO449"/>
  <c r="AT449" s="1"/>
  <c r="AP446"/>
  <c r="AO444"/>
  <c r="AT444" s="1"/>
  <c r="AP443"/>
  <c r="AO442"/>
  <c r="AT442" s="1"/>
  <c r="AP441"/>
  <c r="AO440"/>
  <c r="AT440" s="1"/>
  <c r="AP439"/>
  <c r="AO438"/>
  <c r="AT438" s="1"/>
  <c r="AP435"/>
  <c r="AP433"/>
  <c r="AP432"/>
  <c r="AP427"/>
  <c r="AT427" s="1"/>
  <c r="AP424"/>
  <c r="AP422"/>
  <c r="AO399"/>
  <c r="AT399" s="1"/>
  <c r="AP382"/>
  <c r="AT382" s="1"/>
  <c r="AP381"/>
  <c r="AT381" s="1"/>
  <c r="AP380"/>
  <c r="AT380" s="1"/>
  <c r="AP367"/>
  <c r="AT367" s="1"/>
  <c r="AP330"/>
  <c r="AO329"/>
  <c r="AT329" s="1"/>
  <c r="AP328"/>
  <c r="AP322"/>
  <c r="AP282"/>
  <c r="AO281"/>
  <c r="AO280"/>
  <c r="AT280" s="1"/>
  <c r="AP279"/>
  <c r="AO277"/>
  <c r="AP276"/>
  <c r="AP274"/>
  <c r="AO273"/>
  <c r="AO271"/>
  <c r="AP270"/>
  <c r="AT270" s="1"/>
  <c r="AP269"/>
  <c r="AT269" s="1"/>
  <c r="AP268"/>
  <c r="AT268" s="1"/>
  <c r="AP267"/>
  <c r="AT267" s="1"/>
  <c r="AP266"/>
  <c r="AT266" s="1"/>
  <c r="AP263"/>
  <c r="AT263" s="1"/>
  <c r="AP262"/>
  <c r="AT262" s="1"/>
  <c r="AP252"/>
  <c r="AT252" s="1"/>
  <c r="AP251"/>
  <c r="AT251" s="1"/>
  <c r="AP235"/>
  <c r="AT235" s="1"/>
  <c r="AP234"/>
  <c r="AT234" s="1"/>
  <c r="AP233"/>
  <c r="AT233" s="1"/>
  <c r="AP232"/>
  <c r="AT232" s="1"/>
  <c r="AP225"/>
  <c r="AT225" s="1"/>
  <c r="AP224"/>
  <c r="AT224" s="1"/>
  <c r="AP218"/>
  <c r="AP214"/>
  <c r="AT214" s="1"/>
  <c r="AO213"/>
  <c r="AT213" s="1"/>
  <c r="AP212"/>
  <c r="AO210"/>
  <c r="AT210" s="1"/>
  <c r="AO208"/>
  <c r="AT208" s="1"/>
  <c r="AP206"/>
  <c r="AP204"/>
  <c r="AO203"/>
  <c r="AP183"/>
  <c r="AP179"/>
  <c r="AP177"/>
  <c r="AO176"/>
  <c r="AT176" s="1"/>
  <c r="AP175"/>
  <c r="AT175" s="1"/>
  <c r="AP143"/>
  <c r="AT143" s="1"/>
  <c r="AP135"/>
  <c r="AT135" s="1"/>
  <c r="AP122"/>
  <c r="AT122" s="1"/>
  <c r="AP121"/>
  <c r="AO120"/>
  <c r="AT120" s="1"/>
  <c r="AP118"/>
  <c r="AT118" s="1"/>
  <c r="AP67"/>
  <c r="AT67" s="1"/>
  <c r="AP66"/>
  <c r="AT66" s="1"/>
  <c r="AP60"/>
  <c r="AP26"/>
  <c r="AT26" s="1"/>
  <c r="AP885"/>
  <c r="AT885" s="1"/>
  <c r="AP842"/>
  <c r="AT842" s="1"/>
  <c r="AO761"/>
  <c r="AO650"/>
  <c r="AT650" s="1"/>
  <c r="AP633"/>
  <c r="AP631"/>
  <c r="AP629"/>
  <c r="AP627"/>
  <c r="AP625"/>
  <c r="AP623"/>
  <c r="AO589"/>
  <c r="AT589" s="1"/>
  <c r="AP564"/>
  <c r="AT564" s="1"/>
  <c r="AP549"/>
  <c r="AO542"/>
  <c r="AT542" s="1"/>
  <c r="AO540"/>
  <c r="AT540" s="1"/>
  <c r="AP533"/>
  <c r="AO526"/>
  <c r="AT526" s="1"/>
  <c r="AO524"/>
  <c r="AT524" s="1"/>
  <c r="AP344"/>
  <c r="AP281"/>
  <c r="AP277"/>
  <c r="AP273"/>
  <c r="AP271"/>
  <c r="AO212"/>
  <c r="AT212" s="1"/>
  <c r="AP203"/>
  <c r="AP201"/>
  <c r="AP199"/>
  <c r="AP59"/>
  <c r="AT59" s="1"/>
  <c r="AP57"/>
  <c r="AT57" s="1"/>
  <c r="AP403"/>
  <c r="AT403" s="1"/>
  <c r="AP704"/>
  <c r="AP705"/>
  <c r="AO408"/>
  <c r="AP566"/>
  <c r="AT566" s="1"/>
  <c r="AP568"/>
  <c r="AT568" s="1"/>
  <c r="AP571"/>
  <c r="AT571" s="1"/>
  <c r="E16" i="30"/>
  <c r="E18"/>
  <c r="E45"/>
  <c r="E47"/>
  <c r="E50"/>
  <c r="E99"/>
  <c r="E101"/>
  <c r="K16"/>
  <c r="K18"/>
  <c r="H46"/>
  <c r="H49"/>
  <c r="K47"/>
  <c r="K50"/>
  <c r="K94"/>
  <c r="K95" s="1"/>
  <c r="H100"/>
  <c r="K99"/>
  <c r="K101"/>
  <c r="H107"/>
  <c r="K106"/>
  <c r="K108"/>
  <c r="H17"/>
  <c r="H37"/>
  <c r="E48"/>
  <c r="K48"/>
  <c r="H57"/>
  <c r="H58" s="1"/>
  <c r="AP187" i="1"/>
  <c r="AT187" s="1"/>
  <c r="AP17"/>
  <c r="AT17" s="1"/>
  <c r="AP20"/>
  <c r="AP24"/>
  <c r="AO25"/>
  <c r="AP178"/>
  <c r="N61" i="30"/>
  <c r="N62" s="1"/>
  <c r="Z402" i="1"/>
  <c r="Z405"/>
  <c r="AO405" s="1"/>
  <c r="Z407"/>
  <c r="AO407" s="1"/>
  <c r="V403" i="20"/>
  <c r="V13" s="1"/>
  <c r="V409"/>
  <c r="AO704" i="1"/>
  <c r="AT704" s="1"/>
  <c r="AO705"/>
  <c r="AT705" s="1"/>
  <c r="AV99"/>
  <c r="AO286"/>
  <c r="AT286" s="1"/>
  <c r="AO290"/>
  <c r="AT290" s="1"/>
  <c r="AP408"/>
  <c r="AP567"/>
  <c r="AT567" s="1"/>
  <c r="AP569"/>
  <c r="AT569" s="1"/>
  <c r="AP572"/>
  <c r="AT572" s="1"/>
  <c r="E17" i="30"/>
  <c r="E37"/>
  <c r="E46"/>
  <c r="E49"/>
  <c r="E100"/>
  <c r="E106"/>
  <c r="K17"/>
  <c r="H45"/>
  <c r="H47"/>
  <c r="K45"/>
  <c r="K49"/>
  <c r="H94"/>
  <c r="H99"/>
  <c r="H101"/>
  <c r="K100"/>
  <c r="H106"/>
  <c r="H109" s="1"/>
  <c r="H108"/>
  <c r="K107"/>
  <c r="H16"/>
  <c r="H18"/>
  <c r="K37"/>
  <c r="H48"/>
  <c r="E57"/>
  <c r="K57"/>
  <c r="K58" s="1"/>
  <c r="E36"/>
  <c r="H36"/>
  <c r="H38" s="1"/>
  <c r="K36"/>
  <c r="K38" s="1"/>
  <c r="AO24" i="1"/>
  <c r="AT24" s="1"/>
  <c r="AP25"/>
  <c r="AO178"/>
  <c r="AP847"/>
  <c r="AT847" s="1"/>
  <c r="N51" i="29"/>
  <c r="AS27" i="1"/>
  <c r="AS39"/>
  <c r="AS47"/>
  <c r="AP100"/>
  <c r="AT100" s="1"/>
  <c r="Z404"/>
  <c r="AP405"/>
  <c r="Z406"/>
  <c r="AO409"/>
  <c r="G90" i="30"/>
  <c r="M88"/>
  <c r="J45" i="8"/>
  <c r="J39" i="4"/>
  <c r="M97" i="30"/>
  <c r="G102"/>
  <c r="H37" i="8"/>
  <c r="H35" i="4"/>
  <c r="N37"/>
  <c r="N38" s="1"/>
  <c r="H38"/>
  <c r="K93" i="8"/>
  <c r="K101"/>
  <c r="N92"/>
  <c r="N93" s="1"/>
  <c r="K104"/>
  <c r="M59" i="39" s="1"/>
  <c r="M58" s="1"/>
  <c r="M57" s="1"/>
  <c r="K34" i="8"/>
  <c r="K30"/>
  <c r="M69" i="30"/>
  <c r="M32" i="8"/>
  <c r="H72"/>
  <c r="H68"/>
  <c r="N69"/>
  <c r="N36"/>
  <c r="E35"/>
  <c r="E38"/>
  <c r="J68"/>
  <c r="J72"/>
  <c r="H39" i="4"/>
  <c r="H45" i="8"/>
  <c r="H46" i="4"/>
  <c r="AP907" i="1"/>
  <c r="AT56"/>
  <c r="AP908"/>
  <c r="G30" i="8"/>
  <c r="G34"/>
  <c r="M92" i="30"/>
  <c r="G95"/>
  <c r="D85"/>
  <c r="M83"/>
  <c r="J87" i="8"/>
  <c r="J84"/>
  <c r="M60" i="30"/>
  <c r="D62"/>
  <c r="AS14" i="1"/>
  <c r="AN829"/>
  <c r="AN890" s="1"/>
  <c r="AN13" s="1"/>
  <c r="M62" i="30"/>
  <c r="N33" i="8"/>
  <c r="AT883" i="1"/>
  <c r="AT881"/>
  <c r="AT877"/>
  <c r="AT805"/>
  <c r="AT803"/>
  <c r="AT801"/>
  <c r="M35" i="4"/>
  <c r="N35"/>
  <c r="M57" i="30"/>
  <c r="M93"/>
  <c r="M43" i="8"/>
  <c r="N37"/>
  <c r="D102" i="30"/>
  <c r="M100"/>
  <c r="AS727" i="1"/>
  <c r="D70" i="30"/>
  <c r="M20"/>
  <c r="M84"/>
  <c r="J58"/>
  <c r="J27"/>
  <c r="J102"/>
  <c r="AR182" i="1"/>
  <c r="AR275"/>
  <c r="J70" i="30"/>
  <c r="AT616" i="1"/>
  <c r="AT410"/>
  <c r="E72" i="8"/>
  <c r="J75"/>
  <c r="X462" i="31"/>
  <c r="AA117" i="1"/>
  <c r="AP117" s="1"/>
  <c r="AT117" s="1"/>
  <c r="V13" i="25"/>
  <c r="G42" i="4"/>
  <c r="G42" i="8" s="1"/>
  <c r="E362" i="38"/>
  <c r="A3" i="32"/>
  <c r="A3" i="33"/>
  <c r="A3" i="25"/>
  <c r="K20" i="35"/>
  <c r="A3" i="1"/>
  <c r="Q125" i="30"/>
  <c r="H113" i="29"/>
  <c r="M70"/>
  <c r="N79" i="8"/>
  <c r="J62" i="30"/>
  <c r="M36" i="8"/>
  <c r="M38" s="1"/>
  <c r="M41"/>
  <c r="K111" i="29"/>
  <c r="N90"/>
  <c r="B31" i="36"/>
  <c r="K77" i="29"/>
  <c r="K40"/>
  <c r="AS117" i="1"/>
  <c r="M94" i="30"/>
  <c r="N48" i="8"/>
  <c r="M107" i="30"/>
  <c r="J22"/>
  <c r="N22" i="29"/>
  <c r="M99" i="30"/>
  <c r="M80"/>
  <c r="M55"/>
  <c r="M58" s="1"/>
  <c r="AL898" i="1"/>
  <c r="AL899" s="1"/>
  <c r="J38" i="30"/>
  <c r="D95"/>
  <c r="AR176" i="1"/>
  <c r="AS856"/>
  <c r="J95" i="30"/>
  <c r="AT610" i="1"/>
  <c r="AT606"/>
  <c r="AT390"/>
  <c r="E20" i="8"/>
  <c r="AS28" i="1"/>
  <c r="AS29"/>
  <c r="AS40"/>
  <c r="AS41"/>
  <c r="AS48"/>
  <c r="AS49"/>
  <c r="AT747"/>
  <c r="AT623"/>
  <c r="AT515"/>
  <c r="AT491"/>
  <c r="AT485"/>
  <c r="AT479"/>
  <c r="AT477"/>
  <c r="AT467"/>
  <c r="AT465"/>
  <c r="AT461"/>
  <c r="AT459"/>
  <c r="AT453"/>
  <c r="AT445"/>
  <c r="N13" i="30"/>
  <c r="N15"/>
  <c r="N17"/>
  <c r="N69"/>
  <c r="N70" s="1"/>
  <c r="N98"/>
  <c r="N100"/>
  <c r="K53"/>
  <c r="K77" s="1"/>
  <c r="H90"/>
  <c r="AS51" i="1"/>
  <c r="AT661"/>
  <c r="AT528"/>
  <c r="AT431"/>
  <c r="N16" i="30"/>
  <c r="N24"/>
  <c r="N27" s="1"/>
  <c r="H81"/>
  <c r="N66" i="7"/>
  <c r="N67" s="1"/>
  <c r="N69" s="1"/>
  <c r="R2" i="33"/>
  <c r="P48" i="8" s="1"/>
  <c r="AO217" i="1"/>
  <c r="Q13" i="26"/>
  <c r="R896"/>
  <c r="M49" i="30"/>
  <c r="V12" i="26"/>
  <c r="R26" i="36"/>
  <c r="P13" i="26"/>
  <c r="R37" i="36" s="1"/>
  <c r="P896" i="26"/>
  <c r="Q85" i="8"/>
  <c r="Q85" i="4"/>
  <c r="AS886" i="1"/>
  <c r="G101" i="4"/>
  <c r="G93"/>
  <c r="Y894" i="1"/>
  <c r="Y4" s="1"/>
  <c r="R890" i="25"/>
  <c r="R13" s="1"/>
  <c r="Q890"/>
  <c r="Q13" s="1"/>
  <c r="O890"/>
  <c r="O13" s="1"/>
  <c r="R35" i="36" s="1"/>
  <c r="S890" i="25"/>
  <c r="S13" s="1"/>
  <c r="G75" i="4"/>
  <c r="G75" i="8" s="1"/>
  <c r="T829" i="25"/>
  <c r="T892" s="1"/>
  <c r="T2" s="1"/>
  <c r="P896"/>
  <c r="G69" i="7"/>
  <c r="G76" i="4"/>
  <c r="G76" i="8" s="1"/>
  <c r="AM888" i="1"/>
  <c r="AN894" s="1"/>
  <c r="AN4" s="1"/>
  <c r="AS887"/>
  <c r="AM890"/>
  <c r="G56" i="8"/>
  <c r="M55"/>
  <c r="M56" s="1"/>
  <c r="G101"/>
  <c r="G104"/>
  <c r="H59" i="39" s="1"/>
  <c r="H58" s="1"/>
  <c r="AT855" i="1"/>
  <c r="S890" i="20"/>
  <c r="S13" s="1"/>
  <c r="Q890"/>
  <c r="R896" s="1"/>
  <c r="M104" i="4"/>
  <c r="G81" i="30"/>
  <c r="M79"/>
  <c r="M81" s="1"/>
  <c r="M47"/>
  <c r="M46"/>
  <c r="X890" i="1"/>
  <c r="X13" s="1"/>
  <c r="M43" i="30"/>
  <c r="G47" i="8"/>
  <c r="G50"/>
  <c r="M44"/>
  <c r="G39" i="4"/>
  <c r="M80"/>
  <c r="N80" i="8"/>
  <c r="H39"/>
  <c r="H46"/>
  <c r="G46" i="4"/>
  <c r="G52" s="1"/>
  <c r="G54" s="1"/>
  <c r="N42" i="8"/>
  <c r="Y914" i="1"/>
  <c r="Y915" s="1"/>
  <c r="Q13" i="20"/>
  <c r="H28" i="4"/>
  <c r="M15" i="8"/>
  <c r="G20"/>
  <c r="G12"/>
  <c r="N13"/>
  <c r="N20" s="1"/>
  <c r="N28" s="1"/>
  <c r="H20"/>
  <c r="H28" s="1"/>
  <c r="H12"/>
  <c r="R34" i="36"/>
  <c r="R33"/>
  <c r="AA456" i="31"/>
  <c r="AA381"/>
  <c r="AA377"/>
  <c r="AA351"/>
  <c r="N37" i="29"/>
  <c r="N38" s="1"/>
  <c r="N30"/>
  <c r="AA243" i="31"/>
  <c r="AA228"/>
  <c r="AA85"/>
  <c r="AA84"/>
  <c r="N49" i="30"/>
  <c r="AA51" i="31"/>
  <c r="AA43"/>
  <c r="AA40"/>
  <c r="AA35"/>
  <c r="AA29"/>
  <c r="AA27"/>
  <c r="AA25"/>
  <c r="AA23"/>
  <c r="E102" i="30"/>
  <c r="E95"/>
  <c r="N92"/>
  <c r="N80"/>
  <c r="E81"/>
  <c r="AA393" i="31"/>
  <c r="N88" i="30"/>
  <c r="N90" s="1"/>
  <c r="N79"/>
  <c r="N81" s="1"/>
  <c r="AA373" i="31"/>
  <c r="N37" i="30"/>
  <c r="E38"/>
  <c r="E40" i="29"/>
  <c r="N19" i="30"/>
  <c r="Y462" i="31"/>
  <c r="Y464" s="1"/>
  <c r="Y470" s="1"/>
  <c r="N14" i="30"/>
  <c r="E22"/>
  <c r="N106"/>
  <c r="N47"/>
  <c r="E65" i="4"/>
  <c r="E66" s="1"/>
  <c r="E62" s="1"/>
  <c r="P464" i="31"/>
  <c r="E53" i="29"/>
  <c r="E77" s="1"/>
  <c r="N46" i="30"/>
  <c r="N45"/>
  <c r="H53"/>
  <c r="H77" s="1"/>
  <c r="N44"/>
  <c r="H124" i="29"/>
  <c r="H121" s="1"/>
  <c r="H123"/>
  <c r="H120" s="1"/>
  <c r="S466" i="31"/>
  <c r="N43" i="30"/>
  <c r="E53"/>
  <c r="K66" i="8"/>
  <c r="H66"/>
  <c r="N63"/>
  <c r="AR207" i="1"/>
  <c r="AP886"/>
  <c r="AT886" s="1"/>
  <c r="AR888"/>
  <c r="AP856"/>
  <c r="AO856"/>
  <c r="AS852"/>
  <c r="AP852"/>
  <c r="AO852"/>
  <c r="AP850"/>
  <c r="AO850"/>
  <c r="AT849"/>
  <c r="AP848"/>
  <c r="AT848" s="1"/>
  <c r="E93" i="4"/>
  <c r="AT835" i="1"/>
  <c r="P890"/>
  <c r="E104" i="8"/>
  <c r="E59" i="39" s="1"/>
  <c r="E58" s="1"/>
  <c r="E101" i="8"/>
  <c r="N55"/>
  <c r="E56"/>
  <c r="O890" i="1"/>
  <c r="O13" s="1"/>
  <c r="AT745"/>
  <c r="AP744"/>
  <c r="AO744"/>
  <c r="AP742"/>
  <c r="AO742"/>
  <c r="AP740"/>
  <c r="AO740"/>
  <c r="AP718"/>
  <c r="AO718"/>
  <c r="AP716"/>
  <c r="AO716"/>
  <c r="AT658"/>
  <c r="AT654"/>
  <c r="M25" i="30"/>
  <c r="M27" s="1"/>
  <c r="AP634" i="1"/>
  <c r="AT634" s="1"/>
  <c r="D27" i="30"/>
  <c r="AP621" i="1"/>
  <c r="AO621"/>
  <c r="AO615"/>
  <c r="AT615" s="1"/>
  <c r="AP613"/>
  <c r="AO613"/>
  <c r="D15" i="29"/>
  <c r="M14" i="30"/>
  <c r="M13"/>
  <c r="AT595" i="1"/>
  <c r="M106" i="30"/>
  <c r="D65" i="4"/>
  <c r="D65" i="8" s="1"/>
  <c r="D66" s="1"/>
  <c r="AO534" i="1"/>
  <c r="AT534" s="1"/>
  <c r="T829"/>
  <c r="T892" s="1"/>
  <c r="T2" s="1"/>
  <c r="D70" i="29"/>
  <c r="AT527" i="1"/>
  <c r="M68" i="30"/>
  <c r="AP525" i="1"/>
  <c r="M70" i="30"/>
  <c r="AO525" i="1"/>
  <c r="AT525" s="1"/>
  <c r="AP513"/>
  <c r="AT513" s="1"/>
  <c r="D66" i="30"/>
  <c r="AO511" i="1"/>
  <c r="AT511" s="1"/>
  <c r="M64" i="30"/>
  <c r="M66" s="1"/>
  <c r="AO478" i="1"/>
  <c r="M50" i="30"/>
  <c r="AP478" i="1"/>
  <c r="AO458"/>
  <c r="AP458"/>
  <c r="D77" i="29"/>
  <c r="AO454" i="1"/>
  <c r="AP454"/>
  <c r="AT450"/>
  <c r="AO448"/>
  <c r="AP448"/>
  <c r="M72" i="30"/>
  <c r="AO437" i="1"/>
  <c r="AT437" s="1"/>
  <c r="AP429"/>
  <c r="AO429"/>
  <c r="AP426"/>
  <c r="AO426"/>
  <c r="AO421"/>
  <c r="AT421" s="1"/>
  <c r="AO419"/>
  <c r="AP419"/>
  <c r="AO417"/>
  <c r="AP417"/>
  <c r="AO413"/>
  <c r="AP413"/>
  <c r="AO411"/>
  <c r="AP411"/>
  <c r="D53" i="30"/>
  <c r="AP409" i="1"/>
  <c r="AT409" s="1"/>
  <c r="AP407"/>
  <c r="AP406"/>
  <c r="AO406"/>
  <c r="AP404"/>
  <c r="AO404"/>
  <c r="AO402"/>
  <c r="AP402"/>
  <c r="AO401"/>
  <c r="AP401"/>
  <c r="AT400"/>
  <c r="AT398"/>
  <c r="AP397"/>
  <c r="AO397"/>
  <c r="AT396"/>
  <c r="AO395"/>
  <c r="AP395"/>
  <c r="M44" i="30"/>
  <c r="AT394" i="1"/>
  <c r="AO393"/>
  <c r="AP393"/>
  <c r="AT392"/>
  <c r="AO391"/>
  <c r="AP391"/>
  <c r="AP389"/>
  <c r="AO389"/>
  <c r="AT388"/>
  <c r="AO387"/>
  <c r="AP387"/>
  <c r="AT386"/>
  <c r="AO385"/>
  <c r="AP385"/>
  <c r="D66" i="4"/>
  <c r="AT384" i="1"/>
  <c r="M35" i="8"/>
  <c r="R892" i="1"/>
  <c r="R2" s="1"/>
  <c r="E34" i="8"/>
  <c r="E30"/>
  <c r="J50"/>
  <c r="M49"/>
  <c r="M47" s="1"/>
  <c r="J47"/>
  <c r="K47"/>
  <c r="K50"/>
  <c r="N49"/>
  <c r="E47"/>
  <c r="E50"/>
  <c r="D52" i="4"/>
  <c r="AP284" i="1"/>
  <c r="AT284" s="1"/>
  <c r="AO275"/>
  <c r="AP275"/>
  <c r="AO272"/>
  <c r="AP272"/>
  <c r="E39" i="4"/>
  <c r="AF892" i="1"/>
  <c r="AF2" s="1"/>
  <c r="AP226"/>
  <c r="AT226" s="1"/>
  <c r="K73" i="4"/>
  <c r="AT217" i="1"/>
  <c r="AP216"/>
  <c r="AO216"/>
  <c r="AT207"/>
  <c r="N44" i="8"/>
  <c r="AP205" i="1"/>
  <c r="AT205" s="1"/>
  <c r="M81" i="8"/>
  <c r="AP202" i="1"/>
  <c r="AO202"/>
  <c r="P85" i="8"/>
  <c r="AO193" i="1"/>
  <c r="AR193"/>
  <c r="AR829" s="1"/>
  <c r="AR890" s="1"/>
  <c r="AR13" s="1"/>
  <c r="AR10" s="1"/>
  <c r="AP193"/>
  <c r="AO192"/>
  <c r="AT192" s="1"/>
  <c r="AO191"/>
  <c r="AP191"/>
  <c r="AT182"/>
  <c r="AO181"/>
  <c r="AP181"/>
  <c r="AT180"/>
  <c r="AP146"/>
  <c r="AT146" s="1"/>
  <c r="AP142"/>
  <c r="AT142" s="1"/>
  <c r="AP132"/>
  <c r="AT132" s="1"/>
  <c r="M85" i="8"/>
  <c r="E45"/>
  <c r="E46" s="1"/>
  <c r="M80"/>
  <c r="E46" i="4"/>
  <c r="E52" s="1"/>
  <c r="E54" s="1"/>
  <c r="AV13" i="1"/>
  <c r="AV12" s="1"/>
  <c r="AK829"/>
  <c r="AK890" s="1"/>
  <c r="AK13" s="1"/>
  <c r="N41" i="4"/>
  <c r="N41" i="8"/>
  <c r="D42"/>
  <c r="D39" i="4"/>
  <c r="AP115" i="1"/>
  <c r="AT115" s="1"/>
  <c r="D23" i="8"/>
  <c r="D26"/>
  <c r="M24"/>
  <c r="AP101" i="1"/>
  <c r="AT101" s="1"/>
  <c r="AF890"/>
  <c r="AP98"/>
  <c r="AT98" s="1"/>
  <c r="AP97"/>
  <c r="AT97" s="1"/>
  <c r="AP96"/>
  <c r="AT96" s="1"/>
  <c r="D20" i="4"/>
  <c r="D28" s="1"/>
  <c r="AP95" i="1"/>
  <c r="AT95" s="1"/>
  <c r="E28" i="8"/>
  <c r="N12"/>
  <c r="P892" i="1"/>
  <c r="P2" s="1"/>
  <c r="N15" i="4"/>
  <c r="D12"/>
  <c r="E12"/>
  <c r="M20"/>
  <c r="M28" s="1"/>
  <c r="D12" i="8"/>
  <c r="Q13" i="1"/>
  <c r="R896"/>
  <c r="M14" i="8"/>
  <c r="AH890" i="1"/>
  <c r="AO15"/>
  <c r="AL890"/>
  <c r="AL13" s="1"/>
  <c r="AP15"/>
  <c r="J66" i="8"/>
  <c r="AT15" i="1"/>
  <c r="AD13"/>
  <c r="R39" i="36" s="1"/>
  <c r="AD896" i="1"/>
  <c r="M63" i="8"/>
  <c r="U2" i="31"/>
  <c r="P896" i="1"/>
  <c r="P13"/>
  <c r="R31" i="36" s="1"/>
  <c r="S13" i="1"/>
  <c r="AO14"/>
  <c r="AP14"/>
  <c r="T890" i="25"/>
  <c r="T892" i="27"/>
  <c r="T2" s="1"/>
  <c r="T890"/>
  <c r="T892" i="26"/>
  <c r="T2" s="1"/>
  <c r="T890"/>
  <c r="T890" i="20"/>
  <c r="T892"/>
  <c r="T2" s="1"/>
  <c r="Y13" i="1"/>
  <c r="Y896"/>
  <c r="K39" i="8"/>
  <c r="K46"/>
  <c r="K52" s="1"/>
  <c r="K54" s="1"/>
  <c r="G46"/>
  <c r="G52" s="1"/>
  <c r="M42"/>
  <c r="G39"/>
  <c r="J39"/>
  <c r="J46"/>
  <c r="V10" i="25"/>
  <c r="V12"/>
  <c r="H13"/>
  <c r="R25" i="36"/>
  <c r="AM13" i="1"/>
  <c r="AN896"/>
  <c r="E76" i="4"/>
  <c r="M90" i="7"/>
  <c r="M57" s="1"/>
  <c r="G69" i="8"/>
  <c r="M69" i="4"/>
  <c r="N86" i="7"/>
  <c r="N48" s="1"/>
  <c r="G71" i="4"/>
  <c r="M71" s="1"/>
  <c r="H48" i="7"/>
  <c r="M25" i="8"/>
  <c r="G26"/>
  <c r="G28" s="1"/>
  <c r="G54" s="1"/>
  <c r="H76" i="4"/>
  <c r="H76" i="8" s="1"/>
  <c r="H77" i="4"/>
  <c r="G57" i="7"/>
  <c r="H75" i="4"/>
  <c r="H47" i="8"/>
  <c r="H50"/>
  <c r="J12"/>
  <c r="J20"/>
  <c r="D20"/>
  <c r="D28" s="1"/>
  <c r="M13"/>
  <c r="N86"/>
  <c r="H87"/>
  <c r="H84"/>
  <c r="K39" i="4"/>
  <c r="N72"/>
  <c r="D68"/>
  <c r="M102" i="29"/>
  <c r="M111" s="1"/>
  <c r="K113"/>
  <c r="M70" i="8"/>
  <c r="M16" i="30"/>
  <c r="M79" i="8"/>
  <c r="M33"/>
  <c r="M36" i="30"/>
  <c r="M16" i="8"/>
  <c r="J53" i="30"/>
  <c r="J77" s="1"/>
  <c r="M17"/>
  <c r="J124" i="29"/>
  <c r="J121" s="1"/>
  <c r="J123"/>
  <c r="J120" s="1"/>
  <c r="N35" i="8"/>
  <c r="N38"/>
  <c r="E69" i="7"/>
  <c r="E90"/>
  <c r="D84" i="8"/>
  <c r="D87"/>
  <c r="M86"/>
  <c r="J93"/>
  <c r="J101"/>
  <c r="M92"/>
  <c r="J104"/>
  <c r="L59" i="39" s="1"/>
  <c r="M31" i="8"/>
  <c r="D34"/>
  <c r="D30"/>
  <c r="J23"/>
  <c r="J26"/>
  <c r="J30"/>
  <c r="J34"/>
  <c r="N31"/>
  <c r="H34"/>
  <c r="H30"/>
  <c r="G73" i="4"/>
  <c r="AA300" i="31"/>
  <c r="AA462" s="1"/>
  <c r="K83" i="4"/>
  <c r="K89" s="1"/>
  <c r="K91" s="1"/>
  <c r="K100" s="1"/>
  <c r="M42"/>
  <c r="H57" i="7"/>
  <c r="J46" i="4"/>
  <c r="J52" s="1"/>
  <c r="J54" s="1"/>
  <c r="H13" i="26"/>
  <c r="AA829" i="1"/>
  <c r="Y892"/>
  <c r="Y2" s="1"/>
  <c r="AN892"/>
  <c r="AN2" s="1"/>
  <c r="AL892"/>
  <c r="AL2" s="1"/>
  <c r="W896"/>
  <c r="D57" i="7"/>
  <c r="Q45" i="30"/>
  <c r="Q69" s="1"/>
  <c r="M74" i="4"/>
  <c r="M30" i="30"/>
  <c r="N111" i="29"/>
  <c r="N23" i="8"/>
  <c r="M89" i="30"/>
  <c r="M90" s="1"/>
  <c r="M18"/>
  <c r="AT657" i="1"/>
  <c r="P48" i="4"/>
  <c r="N26"/>
  <c r="D58" i="30"/>
  <c r="D77" s="1"/>
  <c r="D81" i="29"/>
  <c r="AT60" i="1"/>
  <c r="N99" i="30"/>
  <c r="AS154" i="1"/>
  <c r="AS354"/>
  <c r="AS855"/>
  <c r="AS873"/>
  <c r="AS883"/>
  <c r="AS75"/>
  <c r="AS132"/>
  <c r="AS162"/>
  <c r="AS278"/>
  <c r="AS292"/>
  <c r="AS364"/>
  <c r="AS366"/>
  <c r="AS442"/>
  <c r="AS492"/>
  <c r="AS841"/>
  <c r="AS849"/>
  <c r="AS859"/>
  <c r="AS879"/>
  <c r="N75" i="29"/>
  <c r="AS30" i="1"/>
  <c r="AS38"/>
  <c r="AS42"/>
  <c r="AS46"/>
  <c r="AS50"/>
  <c r="H52" i="4" l="1"/>
  <c r="H54" s="1"/>
  <c r="H22" i="30"/>
  <c r="H40" s="1"/>
  <c r="AT407" i="1"/>
  <c r="K22" i="30"/>
  <c r="K40" s="1"/>
  <c r="AT548" i="1"/>
  <c r="AT588"/>
  <c r="AT617"/>
  <c r="AT656"/>
  <c r="AT664"/>
  <c r="AT666"/>
  <c r="AT676"/>
  <c r="AT686"/>
  <c r="AT696"/>
  <c r="AT698"/>
  <c r="AT700"/>
  <c r="AT702"/>
  <c r="AT720"/>
  <c r="AT722"/>
  <c r="AT734"/>
  <c r="AT736"/>
  <c r="AT746"/>
  <c r="AT748"/>
  <c r="AT750"/>
  <c r="AT754"/>
  <c r="AT758"/>
  <c r="AT764"/>
  <c r="AT766"/>
  <c r="AT768"/>
  <c r="AT770"/>
  <c r="AT772"/>
  <c r="AT774"/>
  <c r="AT776"/>
  <c r="AT778"/>
  <c r="AT780"/>
  <c r="AT782"/>
  <c r="AT784"/>
  <c r="AT786"/>
  <c r="AT790"/>
  <c r="AT794"/>
  <c r="AT796"/>
  <c r="AT798"/>
  <c r="AT812"/>
  <c r="AT828"/>
  <c r="AT434"/>
  <c r="AT452"/>
  <c r="AT463"/>
  <c r="AT619"/>
  <c r="AT645"/>
  <c r="AT647"/>
  <c r="V10" i="20"/>
  <c r="H13"/>
  <c r="R23" i="36"/>
  <c r="V12" i="20"/>
  <c r="AW13" i="1"/>
  <c r="AX10"/>
  <c r="R29" i="36"/>
  <c r="AX12" i="1"/>
  <c r="V12" i="27"/>
  <c r="H13"/>
  <c r="V10"/>
  <c r="R27" i="36"/>
  <c r="AT178" i="1"/>
  <c r="O18" i="36"/>
  <c r="N94" i="30"/>
  <c r="H95"/>
  <c r="AT20" i="1"/>
  <c r="AP902"/>
  <c r="AP901"/>
  <c r="AT177"/>
  <c r="O17" i="36"/>
  <c r="O37"/>
  <c r="AT760" i="1"/>
  <c r="AT391"/>
  <c r="AT401"/>
  <c r="AT402"/>
  <c r="AT448"/>
  <c r="AT613"/>
  <c r="AT716"/>
  <c r="AT718"/>
  <c r="AT740"/>
  <c r="AT742"/>
  <c r="AT744"/>
  <c r="M101" i="4"/>
  <c r="AT856" i="1"/>
  <c r="AT405"/>
  <c r="AT25"/>
  <c r="K102" i="30"/>
  <c r="N18"/>
  <c r="N22" s="1"/>
  <c r="AT273" i="1"/>
  <c r="AT281"/>
  <c r="AT533"/>
  <c r="N107" i="30"/>
  <c r="AT121" i="1"/>
  <c r="AT183"/>
  <c r="AT199"/>
  <c r="AT218"/>
  <c r="AT279"/>
  <c r="AT344"/>
  <c r="AT424"/>
  <c r="AT432"/>
  <c r="AT446"/>
  <c r="AT471"/>
  <c r="AT473"/>
  <c r="AT475"/>
  <c r="AT486"/>
  <c r="AT505"/>
  <c r="AT518"/>
  <c r="AT520"/>
  <c r="AT522"/>
  <c r="AT549"/>
  <c r="AT194"/>
  <c r="AT276"/>
  <c r="AT560"/>
  <c r="AT433"/>
  <c r="AT200"/>
  <c r="AT565"/>
  <c r="AT628"/>
  <c r="AT590"/>
  <c r="AT596"/>
  <c r="AT609"/>
  <c r="AT665"/>
  <c r="AT672"/>
  <c r="AT674"/>
  <c r="AT680"/>
  <c r="AT684"/>
  <c r="AT697"/>
  <c r="AT699"/>
  <c r="AT701"/>
  <c r="AT703"/>
  <c r="AT721"/>
  <c r="AT726"/>
  <c r="AT728"/>
  <c r="AT730"/>
  <c r="AT732"/>
  <c r="AT735"/>
  <c r="AT749"/>
  <c r="AT759"/>
  <c r="AT765"/>
  <c r="AT767"/>
  <c r="AT769"/>
  <c r="AT771"/>
  <c r="AT773"/>
  <c r="AT775"/>
  <c r="AT777"/>
  <c r="AT779"/>
  <c r="AT781"/>
  <c r="AT783"/>
  <c r="AT785"/>
  <c r="AT795"/>
  <c r="AT797"/>
  <c r="AT854"/>
  <c r="AT876"/>
  <c r="AT878"/>
  <c r="AT430"/>
  <c r="AT487"/>
  <c r="AT495"/>
  <c r="AT506"/>
  <c r="AT530"/>
  <c r="AT644"/>
  <c r="AT646"/>
  <c r="AT636"/>
  <c r="AT677"/>
  <c r="AT719"/>
  <c r="AT733"/>
  <c r="AT757"/>
  <c r="AT793"/>
  <c r="AT811"/>
  <c r="AT851"/>
  <c r="AT763"/>
  <c r="N57" i="30"/>
  <c r="N58" s="1"/>
  <c r="E58"/>
  <c r="E77" s="1"/>
  <c r="G45" i="29"/>
  <c r="Z829" i="1"/>
  <c r="G65" i="4"/>
  <c r="O38" i="36"/>
  <c r="AT761" i="1"/>
  <c r="E108" i="30"/>
  <c r="G108"/>
  <c r="G109" s="1"/>
  <c r="AT69" i="1"/>
  <c r="AP911"/>
  <c r="AT179"/>
  <c r="O19" i="36"/>
  <c r="AT762" i="1"/>
  <c r="O39" i="36"/>
  <c r="D37" i="30"/>
  <c r="D38" i="29"/>
  <c r="M37"/>
  <c r="M38" s="1"/>
  <c r="B82" i="8"/>
  <c r="E81"/>
  <c r="N81" s="1"/>
  <c r="N95" i="30"/>
  <c r="N36"/>
  <c r="N38" s="1"/>
  <c r="H102"/>
  <c r="H111" s="1"/>
  <c r="H113" s="1"/>
  <c r="K109"/>
  <c r="N101"/>
  <c r="N102" s="1"/>
  <c r="N50"/>
  <c r="AT408" i="1"/>
  <c r="AT203"/>
  <c r="AT271"/>
  <c r="AT277"/>
  <c r="AT322"/>
  <c r="AT328"/>
  <c r="AT330"/>
  <c r="AT422"/>
  <c r="AT435"/>
  <c r="AT439"/>
  <c r="AT441"/>
  <c r="AT443"/>
  <c r="AT460"/>
  <c r="AT466"/>
  <c r="AT481"/>
  <c r="AT483"/>
  <c r="AT488"/>
  <c r="AT490"/>
  <c r="AT497"/>
  <c r="AT499"/>
  <c r="AT501"/>
  <c r="AT503"/>
  <c r="AT507"/>
  <c r="AT509"/>
  <c r="AT516"/>
  <c r="AT537"/>
  <c r="AT544"/>
  <c r="AT206"/>
  <c r="AT282"/>
  <c r="AT626"/>
  <c r="AT556"/>
  <c r="AT625"/>
  <c r="AT627"/>
  <c r="AT629"/>
  <c r="AT631"/>
  <c r="AT633"/>
  <c r="AT649"/>
  <c r="D108" i="30"/>
  <c r="AT204" i="1"/>
  <c r="AT274"/>
  <c r="AT532"/>
  <c r="AT550"/>
  <c r="AT624"/>
  <c r="AT632"/>
  <c r="AT592"/>
  <c r="AT594"/>
  <c r="AT598"/>
  <c r="AT669"/>
  <c r="AT678"/>
  <c r="AT682"/>
  <c r="AT689"/>
  <c r="AT691"/>
  <c r="AT693"/>
  <c r="AT800"/>
  <c r="AT802"/>
  <c r="AT804"/>
  <c r="AT806"/>
  <c r="AT809"/>
  <c r="AT815"/>
  <c r="AT817"/>
  <c r="AT819"/>
  <c r="AT821"/>
  <c r="AT823"/>
  <c r="AT825"/>
  <c r="AT880"/>
  <c r="AT882"/>
  <c r="AT201"/>
  <c r="AT555"/>
  <c r="AT642"/>
  <c r="AT671"/>
  <c r="J108" i="30"/>
  <c r="J109" s="1"/>
  <c r="J111" s="1"/>
  <c r="AT638" i="1"/>
  <c r="AT723"/>
  <c r="AT755"/>
  <c r="AT789"/>
  <c r="S67" i="35"/>
  <c r="R67" s="1"/>
  <c r="R68"/>
  <c r="U119"/>
  <c r="U89"/>
  <c r="O71"/>
  <c r="R101" s="1"/>
  <c r="U101" s="1"/>
  <c r="U116"/>
  <c r="R77"/>
  <c r="U86"/>
  <c r="U99"/>
  <c r="O74"/>
  <c r="R104" s="1"/>
  <c r="U104" s="1"/>
  <c r="R71"/>
  <c r="U71" s="1"/>
  <c r="P20"/>
  <c r="O20" s="1"/>
  <c r="S40"/>
  <c r="R40" s="1"/>
  <c r="S20"/>
  <c r="R20" s="1"/>
  <c r="P64"/>
  <c r="O64" s="1"/>
  <c r="S64"/>
  <c r="R64" s="1"/>
  <c r="R28"/>
  <c r="S28" s="1"/>
  <c r="O28"/>
  <c r="P28" s="1"/>
  <c r="O34"/>
  <c r="P34" s="1"/>
  <c r="P40"/>
  <c r="O40" s="1"/>
  <c r="O52"/>
  <c r="P52" s="1"/>
  <c r="R52"/>
  <c r="S52" s="1"/>
  <c r="R34"/>
  <c r="S34" s="1"/>
  <c r="R74"/>
  <c r="U74" s="1"/>
  <c r="R82"/>
  <c r="U75"/>
  <c r="U78"/>
  <c r="U102"/>
  <c r="P67"/>
  <c r="O67" s="1"/>
  <c r="U69"/>
  <c r="O88"/>
  <c r="R118" s="1"/>
  <c r="U118" s="1"/>
  <c r="U105"/>
  <c r="U83"/>
  <c r="U108"/>
  <c r="R85"/>
  <c r="O82"/>
  <c r="O77"/>
  <c r="R107" s="1"/>
  <c r="U107" s="1"/>
  <c r="O68"/>
  <c r="U68" s="1"/>
  <c r="U112"/>
  <c r="U115"/>
  <c r="U113"/>
  <c r="O85"/>
  <c r="R115" s="1"/>
  <c r="R88"/>
  <c r="U88" s="1"/>
  <c r="U72"/>
  <c r="N6" i="36"/>
  <c r="N2"/>
  <c r="N68" i="8"/>
  <c r="N72"/>
  <c r="H38"/>
  <c r="H35"/>
  <c r="M95" i="30"/>
  <c r="M102"/>
  <c r="G111"/>
  <c r="AS829" i="1"/>
  <c r="M84" i="8"/>
  <c r="E52"/>
  <c r="AT216" i="1"/>
  <c r="AT389"/>
  <c r="AT397"/>
  <c r="AT404"/>
  <c r="AT406"/>
  <c r="AT417"/>
  <c r="AT419"/>
  <c r="AT426"/>
  <c r="AT429"/>
  <c r="AT621"/>
  <c r="AT852"/>
  <c r="J40" i="30"/>
  <c r="J113" s="1"/>
  <c r="M85"/>
  <c r="AP888" i="1"/>
  <c r="AT850"/>
  <c r="AT888" s="1"/>
  <c r="R36" i="36"/>
  <c r="AP829" i="1"/>
  <c r="R896" i="25"/>
  <c r="G83" i="4"/>
  <c r="AT202" i="1"/>
  <c r="R24" i="36"/>
  <c r="G61" i="39"/>
  <c r="G59"/>
  <c r="M2" i="4"/>
  <c r="M2" i="30" s="1"/>
  <c r="G58" i="39"/>
  <c r="H57"/>
  <c r="AT413" i="1"/>
  <c r="AT411"/>
  <c r="AT393"/>
  <c r="M50" i="8"/>
  <c r="H52"/>
  <c r="H54" s="1"/>
  <c r="M23"/>
  <c r="E40" i="30"/>
  <c r="E113" i="29"/>
  <c r="P466" i="31" s="1"/>
  <c r="E65" i="8"/>
  <c r="E66" s="1"/>
  <c r="P470" i="31"/>
  <c r="P468"/>
  <c r="R4"/>
  <c r="R466"/>
  <c r="E123" i="29"/>
  <c r="E120" s="1"/>
  <c r="E124"/>
  <c r="E121" s="1"/>
  <c r="AT275" i="1"/>
  <c r="AT181"/>
  <c r="AO888"/>
  <c r="AP894" s="1"/>
  <c r="AP4" s="1"/>
  <c r="N104" i="8"/>
  <c r="Q59" i="39" s="1"/>
  <c r="Q58" s="1"/>
  <c r="Q57" s="1"/>
  <c r="N56" i="8"/>
  <c r="N101"/>
  <c r="E57" i="39"/>
  <c r="C61"/>
  <c r="C59"/>
  <c r="C58"/>
  <c r="T890" i="1"/>
  <c r="T13" s="1"/>
  <c r="D15" i="30"/>
  <c r="M15" i="29"/>
  <c r="M22" s="1"/>
  <c r="D22"/>
  <c r="D40" s="1"/>
  <c r="D113" s="1"/>
  <c r="AT478" i="1"/>
  <c r="AT458"/>
  <c r="AT454"/>
  <c r="AT395"/>
  <c r="AT387"/>
  <c r="AT385"/>
  <c r="D54" i="4"/>
  <c r="N50" i="8"/>
  <c r="N47"/>
  <c r="AT272" i="1"/>
  <c r="J52" i="8"/>
  <c r="AT193" i="1"/>
  <c r="AT191"/>
  <c r="E39" i="8"/>
  <c r="E54"/>
  <c r="AL896" i="1"/>
  <c r="AV10"/>
  <c r="R21" i="36"/>
  <c r="D39" i="8"/>
  <c r="D46"/>
  <c r="D52" s="1"/>
  <c r="D54" s="1"/>
  <c r="AF13" i="1"/>
  <c r="AF896"/>
  <c r="N12" i="4"/>
  <c r="N20"/>
  <c r="N28" s="1"/>
  <c r="AH896" i="1"/>
  <c r="AH13"/>
  <c r="AO829"/>
  <c r="AT14"/>
  <c r="N30" i="8"/>
  <c r="N34"/>
  <c r="L58" i="39"/>
  <c r="AA890" i="1"/>
  <c r="AA892"/>
  <c r="AA2" s="1"/>
  <c r="AA914"/>
  <c r="AA915" s="1"/>
  <c r="AW12"/>
  <c r="AW10"/>
  <c r="AV8"/>
  <c r="R22" i="36"/>
  <c r="H13" i="1"/>
  <c r="J100" i="4"/>
  <c r="J103"/>
  <c r="M30" i="8"/>
  <c r="M34"/>
  <c r="M93"/>
  <c r="M101"/>
  <c r="M104"/>
  <c r="P59" i="39" s="1"/>
  <c r="P58" s="1"/>
  <c r="E57" i="7"/>
  <c r="D75" i="4"/>
  <c r="D82"/>
  <c r="D77"/>
  <c r="D76"/>
  <c r="N90" i="7"/>
  <c r="N57" s="1"/>
  <c r="M20" i="8"/>
  <c r="M12"/>
  <c r="H75"/>
  <c r="H83" i="4"/>
  <c r="H89" s="1"/>
  <c r="H91" s="1"/>
  <c r="H73"/>
  <c r="N75"/>
  <c r="H77" i="8"/>
  <c r="N77" s="1"/>
  <c r="N77" i="4"/>
  <c r="M69" i="8"/>
  <c r="N76" i="4"/>
  <c r="E76" i="8"/>
  <c r="E73" i="4"/>
  <c r="E83"/>
  <c r="E89" s="1"/>
  <c r="E91" s="1"/>
  <c r="A9" i="29"/>
  <c r="A9" i="30" s="1"/>
  <c r="A9" i="4"/>
  <c r="N27" i="32"/>
  <c r="T896" i="26"/>
  <c r="T13"/>
  <c r="T13" i="27"/>
  <c r="T896"/>
  <c r="T13" i="25"/>
  <c r="T896"/>
  <c r="X2" i="31"/>
  <c r="X470"/>
  <c r="AS888" i="1"/>
  <c r="AS890" s="1"/>
  <c r="AS13" s="1"/>
  <c r="AS10" s="1"/>
  <c r="AT829"/>
  <c r="AT890" s="1"/>
  <c r="AT13" s="1"/>
  <c r="AT10" s="1"/>
  <c r="M26" i="8"/>
  <c r="J28"/>
  <c r="J54" s="1"/>
  <c r="K103" i="4"/>
  <c r="V466" i="31"/>
  <c r="K123" i="29"/>
  <c r="K120" s="1"/>
  <c r="K124"/>
  <c r="K121" s="1"/>
  <c r="M2"/>
  <c r="N87" i="8"/>
  <c r="N84"/>
  <c r="G71"/>
  <c r="M71" s="1"/>
  <c r="G68" i="4"/>
  <c r="G72"/>
  <c r="G89" s="1"/>
  <c r="M72"/>
  <c r="M68"/>
  <c r="T13" i="20"/>
  <c r="T896"/>
  <c r="AP890" i="1"/>
  <c r="AP13" s="1"/>
  <c r="M87" i="8"/>
  <c r="D123" i="29" l="1"/>
  <c r="D120" s="1"/>
  <c r="D124"/>
  <c r="D121" s="1"/>
  <c r="V117" i="35"/>
  <c r="U82"/>
  <c r="K111" i="30"/>
  <c r="K113" s="1"/>
  <c r="T896" i="1"/>
  <c r="U85" i="35"/>
  <c r="U77"/>
  <c r="K124" i="30"/>
  <c r="K121" s="1"/>
  <c r="K125"/>
  <c r="K122" s="1"/>
  <c r="M108"/>
  <c r="M109" s="1"/>
  <c r="M111" s="1"/>
  <c r="D109"/>
  <c r="D111" s="1"/>
  <c r="H82" i="8"/>
  <c r="G82"/>
  <c r="K82"/>
  <c r="J82"/>
  <c r="E82"/>
  <c r="B39" i="36"/>
  <c r="N39"/>
  <c r="N19"/>
  <c r="B19"/>
  <c r="G65" i="8"/>
  <c r="G66" s="1"/>
  <c r="G66" i="4"/>
  <c r="G45" i="30"/>
  <c r="M45" i="29"/>
  <c r="G53"/>
  <c r="G77" s="1"/>
  <c r="G113" s="1"/>
  <c r="B37" i="36"/>
  <c r="N37"/>
  <c r="B18"/>
  <c r="N18"/>
  <c r="S91" i="35"/>
  <c r="M37" i="30"/>
  <c r="M38" s="1"/>
  <c r="D38"/>
  <c r="N108"/>
  <c r="N109" s="1"/>
  <c r="N111" s="1"/>
  <c r="E109"/>
  <c r="E111" s="1"/>
  <c r="E113" s="1"/>
  <c r="E125" s="1"/>
  <c r="E122" s="1"/>
  <c r="B38" i="36"/>
  <c r="N38"/>
  <c r="Z890" i="1"/>
  <c r="Z13" s="1"/>
  <c r="Z914"/>
  <c r="Z915" s="1"/>
  <c r="B17" i="36"/>
  <c r="N17"/>
  <c r="G91" i="4"/>
  <c r="J125" i="30"/>
  <c r="J122" s="1"/>
  <c r="J124"/>
  <c r="H125"/>
  <c r="H122" s="1"/>
  <c r="H124"/>
  <c r="G6" i="4"/>
  <c r="G6" i="8" s="1"/>
  <c r="M8" i="36"/>
  <c r="R8"/>
  <c r="M6"/>
  <c r="R98" i="35"/>
  <c r="P80"/>
  <c r="R112"/>
  <c r="S121" s="1"/>
  <c r="P91"/>
  <c r="V80"/>
  <c r="S80"/>
  <c r="V91"/>
  <c r="R4" i="36"/>
  <c r="D6" i="4"/>
  <c r="D6" i="8" s="1"/>
  <c r="M2" i="36"/>
  <c r="M4"/>
  <c r="S94" i="35"/>
  <c r="S92"/>
  <c r="AO890" i="1"/>
  <c r="AO13" s="1"/>
  <c r="M2" i="8"/>
  <c r="E124" i="30"/>
  <c r="E121" s="1"/>
  <c r="O470" i="31"/>
  <c r="O2"/>
  <c r="O468"/>
  <c r="P4"/>
  <c r="O466"/>
  <c r="O4"/>
  <c r="M15" i="30"/>
  <c r="M22" s="1"/>
  <c r="D22"/>
  <c r="D40" s="1"/>
  <c r="D113" s="1"/>
  <c r="AP892" i="1"/>
  <c r="AP2" s="1"/>
  <c r="G100" i="4"/>
  <c r="G103"/>
  <c r="U4" i="31"/>
  <c r="U466"/>
  <c r="H103" i="4"/>
  <c r="H100"/>
  <c r="M77"/>
  <c r="D77" i="8"/>
  <c r="M77" s="1"/>
  <c r="D83" i="4"/>
  <c r="D89" s="1"/>
  <c r="D91" s="1"/>
  <c r="D75" i="8"/>
  <c r="D73" i="4"/>
  <c r="M75"/>
  <c r="P57" i="39"/>
  <c r="O61"/>
  <c r="O59"/>
  <c r="O58"/>
  <c r="E128"/>
  <c r="E127" s="1"/>
  <c r="E66" s="1"/>
  <c r="M128"/>
  <c r="M127" s="1"/>
  <c r="M66" s="1"/>
  <c r="G68" i="8"/>
  <c r="A59" i="39"/>
  <c r="A9" i="8"/>
  <c r="A60" s="1"/>
  <c r="A60" i="4"/>
  <c r="E103"/>
  <c r="E100"/>
  <c r="N76" i="8"/>
  <c r="E73"/>
  <c r="E83"/>
  <c r="E89" s="1"/>
  <c r="E91" s="1"/>
  <c r="M72"/>
  <c r="M68"/>
  <c r="H73"/>
  <c r="N75"/>
  <c r="H83"/>
  <c r="H89" s="1"/>
  <c r="H91" s="1"/>
  <c r="L128" i="39"/>
  <c r="L127" s="1"/>
  <c r="J121" i="30"/>
  <c r="D76" i="8"/>
  <c r="M76" s="1"/>
  <c r="M76" i="4"/>
  <c r="D82" i="8"/>
  <c r="J2" i="4"/>
  <c r="E2"/>
  <c r="AA13" i="1"/>
  <c r="AA896"/>
  <c r="K58" i="39"/>
  <c r="K59"/>
  <c r="L57"/>
  <c r="K61"/>
  <c r="G72" i="8"/>
  <c r="M28"/>
  <c r="S93" i="35" l="1"/>
  <c r="P66" i="4"/>
  <c r="P66" i="8" s="1"/>
  <c r="S110" i="35"/>
  <c r="U98"/>
  <c r="V110" s="1"/>
  <c r="AP896" i="1"/>
  <c r="V114" i="35"/>
  <c r="V121" s="1"/>
  <c r="P30" i="29"/>
  <c r="P75"/>
  <c r="P114"/>
  <c r="P114" i="30" s="1"/>
  <c r="P54" i="29"/>
  <c r="P54" i="30" s="1"/>
  <c r="P67" i="4"/>
  <c r="P67" i="8" s="1"/>
  <c r="K83"/>
  <c r="K89" s="1"/>
  <c r="K91" s="1"/>
  <c r="K73"/>
  <c r="G124" i="29"/>
  <c r="G121" s="1"/>
  <c r="G123"/>
  <c r="G120" s="1"/>
  <c r="G53" i="30"/>
  <c r="G77" s="1"/>
  <c r="G113" s="1"/>
  <c r="M45"/>
  <c r="J83" i="8"/>
  <c r="J89" s="1"/>
  <c r="J91" s="1"/>
  <c r="J73"/>
  <c r="G73"/>
  <c r="G83"/>
  <c r="G89" s="1"/>
  <c r="G91" s="1"/>
  <c r="V112" i="35"/>
  <c r="V113"/>
  <c r="Q74" i="29"/>
  <c r="P40" i="4"/>
  <c r="P78"/>
  <c r="P64"/>
  <c r="P65"/>
  <c r="S82" i="35"/>
  <c r="S81"/>
  <c r="P82" i="4"/>
  <c r="P45"/>
  <c r="S83" i="35"/>
  <c r="V123"/>
  <c r="V122"/>
  <c r="V124"/>
  <c r="S112"/>
  <c r="S111"/>
  <c r="S113"/>
  <c r="S123"/>
  <c r="S122"/>
  <c r="S124"/>
  <c r="V93"/>
  <c r="V94"/>
  <c r="V92"/>
  <c r="V82"/>
  <c r="P29" i="29"/>
  <c r="V81" i="35"/>
  <c r="V83"/>
  <c r="P48" i="29"/>
  <c r="P74"/>
  <c r="P94" i="35"/>
  <c r="P92"/>
  <c r="P93"/>
  <c r="Q45" i="4"/>
  <c r="P82" i="35"/>
  <c r="P83"/>
  <c r="Q65" i="4"/>
  <c r="P81" i="35"/>
  <c r="Q64" i="4"/>
  <c r="Q82"/>
  <c r="Q40"/>
  <c r="Q78"/>
  <c r="H121" i="30"/>
  <c r="I128" i="39"/>
  <c r="I127" s="1"/>
  <c r="I66" s="1"/>
  <c r="D124" i="30"/>
  <c r="D125"/>
  <c r="D122" s="1"/>
  <c r="E2" i="29"/>
  <c r="E2" i="30"/>
  <c r="E2" i="8"/>
  <c r="I3" i="39"/>
  <c r="I2" s="1"/>
  <c r="I1" s="1"/>
  <c r="H103" i="8"/>
  <c r="H100"/>
  <c r="A63" i="39"/>
  <c r="A61"/>
  <c r="A62"/>
  <c r="D73" i="8"/>
  <c r="D83"/>
  <c r="D89" s="1"/>
  <c r="D91" s="1"/>
  <c r="M75"/>
  <c r="J2" i="29"/>
  <c r="J2" i="8"/>
  <c r="J2" i="30"/>
  <c r="L66" i="39"/>
  <c r="K127"/>
  <c r="K128"/>
  <c r="K130"/>
  <c r="E3"/>
  <c r="E2" s="1"/>
  <c r="E1" s="1"/>
  <c r="E100" i="8"/>
  <c r="E103"/>
  <c r="D100" i="4"/>
  <c r="D103"/>
  <c r="V95" i="35" l="1"/>
  <c r="V111"/>
  <c r="P31" i="29"/>
  <c r="P30" i="30"/>
  <c r="P31" s="1"/>
  <c r="Q48" i="29"/>
  <c r="Q29"/>
  <c r="P76"/>
  <c r="P75" i="30"/>
  <c r="P76" s="1"/>
  <c r="P77" i="29"/>
  <c r="P77" i="30" s="1"/>
  <c r="P55" i="29"/>
  <c r="P55" i="30" s="1"/>
  <c r="P115" i="29"/>
  <c r="P115" i="30" s="1"/>
  <c r="P32" i="29"/>
  <c r="P32" i="30" s="1"/>
  <c r="H3" i="39"/>
  <c r="H2" s="1"/>
  <c r="G100" i="8"/>
  <c r="G103"/>
  <c r="M3" i="39"/>
  <c r="M2" s="1"/>
  <c r="M1" s="1"/>
  <c r="K100" i="8"/>
  <c r="K103"/>
  <c r="J100"/>
  <c r="J103"/>
  <c r="L3" i="39"/>
  <c r="L2" s="1"/>
  <c r="G124" i="30"/>
  <c r="G125"/>
  <c r="G122" s="1"/>
  <c r="Q46" i="4"/>
  <c r="Q40" i="8"/>
  <c r="N40" i="4"/>
  <c r="Q64" i="8"/>
  <c r="N64" s="1"/>
  <c r="N64" i="4"/>
  <c r="Q65" i="8"/>
  <c r="N65" s="1"/>
  <c r="N65" i="4"/>
  <c r="Y468" i="31" s="1"/>
  <c r="M48" i="29"/>
  <c r="M53" s="1"/>
  <c r="P48" i="30"/>
  <c r="P53" i="29"/>
  <c r="P113" s="1"/>
  <c r="P121" s="1"/>
  <c r="P120" s="1"/>
  <c r="P82" i="8"/>
  <c r="M82" s="1"/>
  <c r="M82" i="4"/>
  <c r="M64"/>
  <c r="P64" i="8"/>
  <c r="M64" s="1"/>
  <c r="P40"/>
  <c r="M40" i="4"/>
  <c r="P46"/>
  <c r="Q74" i="30"/>
  <c r="N74" s="1"/>
  <c r="N74" i="29"/>
  <c r="N78" i="4"/>
  <c r="Q83"/>
  <c r="Q78" i="8"/>
  <c r="Q82"/>
  <c r="N82" s="1"/>
  <c r="N82" i="4"/>
  <c r="N45"/>
  <c r="Q45" i="8"/>
  <c r="N45" s="1"/>
  <c r="M74" i="29"/>
  <c r="P74" i="30"/>
  <c r="M74" s="1"/>
  <c r="M29" i="29"/>
  <c r="M40" s="1"/>
  <c r="P29" i="30"/>
  <c r="M29" s="1"/>
  <c r="M40" s="1"/>
  <c r="P45" i="8"/>
  <c r="M45" s="1"/>
  <c r="M45" i="4"/>
  <c r="P65" i="8"/>
  <c r="M65" s="1"/>
  <c r="M65" i="4"/>
  <c r="M78"/>
  <c r="P83"/>
  <c r="P78" i="8"/>
  <c r="N48" i="29"/>
  <c r="N53" s="1"/>
  <c r="Q48" i="30"/>
  <c r="Q53" i="29"/>
  <c r="Q29" i="30"/>
  <c r="Q113" i="29"/>
  <c r="Q121" s="1"/>
  <c r="Q120" s="1"/>
  <c r="N29"/>
  <c r="N40" s="1"/>
  <c r="D128" i="39"/>
  <c r="D127" s="1"/>
  <c r="C127" s="1"/>
  <c r="D121" i="30"/>
  <c r="D3" i="39"/>
  <c r="D103" i="8"/>
  <c r="D100"/>
  <c r="G3" i="39"/>
  <c r="H1"/>
  <c r="G5"/>
  <c r="G53"/>
  <c r="G2"/>
  <c r="D66" l="1"/>
  <c r="N77" i="29"/>
  <c r="K5" i="39"/>
  <c r="K2"/>
  <c r="L1"/>
  <c r="K3"/>
  <c r="K53"/>
  <c r="H128"/>
  <c r="H127" s="1"/>
  <c r="G121" i="30"/>
  <c r="C130" i="39"/>
  <c r="N29" i="30"/>
  <c r="N40" s="1"/>
  <c r="N48"/>
  <c r="N53" s="1"/>
  <c r="N77" s="1"/>
  <c r="Q53"/>
  <c r="Q113" s="1"/>
  <c r="Q122" s="1"/>
  <c r="Q121" s="1"/>
  <c r="P83" i="8"/>
  <c r="M78"/>
  <c r="M83" i="4"/>
  <c r="M89" s="1"/>
  <c r="M73"/>
  <c r="P100"/>
  <c r="P101"/>
  <c r="P46" i="8"/>
  <c r="M40"/>
  <c r="M48" i="30"/>
  <c r="M53" s="1"/>
  <c r="M77" s="1"/>
  <c r="P53"/>
  <c r="P113" s="1"/>
  <c r="P122" s="1"/>
  <c r="P121" s="1"/>
  <c r="Y4" i="31"/>
  <c r="X468"/>
  <c r="N39" i="4"/>
  <c r="N46"/>
  <c r="N52" s="1"/>
  <c r="N54" s="1"/>
  <c r="Q101"/>
  <c r="Q100"/>
  <c r="N113" i="29"/>
  <c r="M66" i="4"/>
  <c r="N66"/>
  <c r="N78" i="8"/>
  <c r="Q83"/>
  <c r="N73" i="4"/>
  <c r="N83"/>
  <c r="N89" s="1"/>
  <c r="M39"/>
  <c r="M46"/>
  <c r="M52" s="1"/>
  <c r="M54" s="1"/>
  <c r="N40" i="8"/>
  <c r="Q46"/>
  <c r="M113" i="30"/>
  <c r="M66" i="8"/>
  <c r="M77" i="29"/>
  <c r="M113" s="1"/>
  <c r="N66" i="8"/>
  <c r="C128" i="39"/>
  <c r="D2"/>
  <c r="G127" l="1"/>
  <c r="G130"/>
  <c r="G128"/>
  <c r="H66"/>
  <c r="M124" i="29"/>
  <c r="M121" s="1"/>
  <c r="M123"/>
  <c r="M120" s="1"/>
  <c r="M124" i="30"/>
  <c r="M125"/>
  <c r="M122" s="1"/>
  <c r="N39" i="8"/>
  <c r="N46"/>
  <c r="N52" s="1"/>
  <c r="N54" s="1"/>
  <c r="N73"/>
  <c r="N83"/>
  <c r="N89" s="1"/>
  <c r="N91" s="1"/>
  <c r="Y466" i="31"/>
  <c r="N124" i="29"/>
  <c r="N121" s="1"/>
  <c r="N123"/>
  <c r="N120" s="1"/>
  <c r="P101" i="8"/>
  <c r="P100"/>
  <c r="M91" i="4"/>
  <c r="M103" s="1"/>
  <c r="N113" i="30"/>
  <c r="Q101" i="8"/>
  <c r="Q100"/>
  <c r="N91" i="4"/>
  <c r="N103" s="1"/>
  <c r="N62"/>
  <c r="M46" i="8"/>
  <c r="M52" s="1"/>
  <c r="M54" s="1"/>
  <c r="M39"/>
  <c r="M73"/>
  <c r="M83"/>
  <c r="M89" s="1"/>
  <c r="M91" s="1"/>
  <c r="M100" i="4"/>
  <c r="D1" i="39"/>
  <c r="C2"/>
  <c r="C5"/>
  <c r="C3"/>
  <c r="C53"/>
  <c r="N124" i="30" l="1"/>
  <c r="N125"/>
  <c r="N122" s="1"/>
  <c r="X466" i="31"/>
  <c r="X4"/>
  <c r="P128" i="39"/>
  <c r="M121" i="30"/>
  <c r="N100" i="4"/>
  <c r="M100" i="8"/>
  <c r="M103"/>
  <c r="P3" i="39"/>
  <c r="Q3"/>
  <c r="Q2" s="1"/>
  <c r="Q1" s="1"/>
  <c r="N103" i="8"/>
  <c r="N100"/>
  <c r="P2" i="39" l="1"/>
  <c r="A3"/>
  <c r="P127"/>
  <c r="Q128"/>
  <c r="Q127" s="1"/>
  <c r="Q66" s="1"/>
  <c r="N121" i="30"/>
  <c r="A128" i="39" l="1"/>
  <c r="A130" s="1"/>
  <c r="A132"/>
  <c r="A133"/>
  <c r="A53"/>
  <c r="A54"/>
  <c r="A7"/>
  <c r="A55"/>
  <c r="A6"/>
  <c r="A5"/>
  <c r="O128"/>
  <c r="O130"/>
  <c r="P66"/>
  <c r="O127"/>
  <c r="O2"/>
  <c r="P1"/>
  <c r="O53"/>
  <c r="O5"/>
  <c r="O3"/>
  <c r="A131" l="1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<sst xmlns="http://schemas.openxmlformats.org/spreadsheetml/2006/main" count="8530" uniqueCount="2311">
  <si>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</si>
  <si>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</si>
  <si>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</si>
  <si>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</si>
  <si>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</si>
  <si>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</si>
  <si>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</si>
  <si>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</si>
  <si>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</si>
  <si>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</si>
  <si>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</si>
  <si>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</si>
  <si>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</si>
  <si>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</si>
  <si>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</si>
  <si>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</si>
  <si>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</si>
  <si>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</si>
  <si>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</si>
  <si>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</si>
  <si>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</si>
  <si>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</si>
  <si>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</si>
  <si>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</si>
  <si>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</si>
  <si>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</si>
  <si>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</si>
  <si>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</si>
  <si>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</si>
  <si>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</si>
  <si>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</si>
  <si>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</si>
  <si>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</si>
  <si>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</si>
  <si>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</si>
  <si>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</si>
  <si>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</si>
  <si>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</si>
  <si>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</si>
  <si>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</si>
  <si>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</si>
  <si>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</si>
  <si>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</si>
  <si>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</si>
  <si>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</si>
  <si>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</si>
  <si>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</si>
  <si>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</si>
  <si>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</si>
  <si>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</si>
  <si>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</si>
  <si>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</si>
  <si>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</si>
  <si>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</si>
  <si>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</si>
  <si>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</si>
  <si>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</si>
  <si>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</si>
  <si>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</si>
  <si>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</si>
  <si>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</si>
  <si>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</si>
  <si>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</si>
  <si>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</si>
  <si>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</si>
  <si>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</si>
  <si>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</si>
  <si>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</si>
  <si>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</si>
  <si>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</si>
  <si>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</si>
  <si>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</si>
  <si>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</si>
  <si>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</si>
  <si>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</si>
  <si>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</si>
  <si>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</si>
  <si>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</si>
  <si>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</si>
  <si>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</si>
  <si>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</si>
  <si>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</si>
  <si>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</si>
  <si>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</si>
  <si>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</si>
  <si>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</si>
  <si>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</si>
  <si>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</si>
  <si>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</si>
  <si>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</si>
  <si>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</si>
  <si>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</si>
  <si>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</si>
  <si>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</si>
  <si>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</si>
  <si>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</si>
  <si>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</si>
  <si>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</si>
  <si>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</si>
  <si>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</si>
  <si>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</si>
  <si>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</si>
  <si>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</si>
  <si>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</si>
  <si>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</si>
  <si>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</si>
  <si>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</si>
  <si>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</si>
  <si>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</si>
  <si>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</si>
  <si>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</si>
  <si>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</si>
  <si>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</si>
  <si>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</si>
  <si>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</si>
  <si>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</si>
  <si>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</si>
  <si>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</si>
  <si>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</si>
  <si>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</si>
  <si>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</si>
  <si>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</si>
  <si>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</si>
  <si>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</si>
  <si>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</si>
  <si>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</si>
  <si>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</si>
  <si>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</si>
  <si>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</si>
  <si>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</si>
  <si>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</si>
  <si>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</si>
  <si>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</si>
  <si>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</si>
  <si>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</si>
  <si>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</si>
  <si>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</si>
  <si>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</si>
  <si>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</si>
  <si>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</si>
  <si>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</si>
  <si>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</si>
  <si>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</si>
  <si>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</si>
  <si>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</si>
  <si>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</si>
  <si>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</si>
  <si>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</si>
  <si>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</si>
  <si>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</si>
  <si>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</si>
  <si>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</si>
  <si>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</si>
  <si>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</si>
  <si>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</si>
  <si>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</si>
  <si>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</si>
  <si>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</si>
  <si>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</si>
  <si>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</si>
  <si>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</si>
  <si>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</si>
  <si>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</si>
  <si>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</si>
  <si>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</si>
  <si>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</si>
  <si>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</si>
  <si>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</si>
  <si>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</si>
  <si>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</si>
  <si>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</si>
  <si>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</si>
  <si>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</si>
  <si>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</si>
  <si>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</si>
  <si>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</si>
  <si>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</si>
  <si>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</si>
  <si>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</si>
  <si>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</si>
  <si>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</si>
  <si>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</si>
  <si>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</si>
  <si>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</si>
  <si>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</si>
  <si>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</si>
  <si>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</si>
  <si>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</si>
  <si>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</si>
  <si>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</si>
  <si>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</si>
  <si>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</si>
  <si>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</si>
  <si>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</si>
  <si>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</si>
  <si>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</si>
  <si>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</si>
  <si>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</si>
  <si>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</si>
  <si>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</si>
  <si>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</si>
  <si>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</si>
  <si>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</si>
  <si>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</si>
  <si>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</si>
  <si>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</si>
  <si>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</si>
  <si>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</si>
  <si>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</si>
  <si>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</si>
  <si>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</si>
  <si>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</si>
  <si>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</si>
  <si>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</si>
  <si>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</si>
  <si>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</si>
  <si>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</si>
  <si>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</si>
  <si>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</si>
  <si>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</si>
  <si>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</si>
  <si>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</si>
  <si>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</si>
  <si>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</si>
  <si>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</si>
  <si>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</si>
  <si>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</si>
  <si>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</si>
  <si>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</si>
  <si>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</si>
  <si>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</si>
  <si>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</si>
  <si>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</si>
  <si>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</si>
  <si>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</si>
  <si>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</si>
  <si>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</si>
  <si>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</si>
  <si>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</si>
  <si>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</si>
  <si>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</si>
  <si>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</si>
  <si>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</si>
  <si>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</si>
  <si>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</si>
  <si>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</si>
  <si>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</si>
  <si>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</si>
  <si>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</si>
  <si>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</si>
  <si>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</si>
  <si>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</si>
  <si>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</si>
  <si>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</si>
  <si>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</si>
  <si>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</si>
  <si>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</si>
  <si>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</si>
  <si>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</si>
  <si>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</si>
  <si>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</si>
  <si>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</si>
  <si>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</si>
  <si>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</si>
  <si>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</si>
  <si>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</si>
  <si>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</si>
  <si>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</si>
  <si>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</si>
  <si>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</si>
  <si>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</si>
  <si>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</si>
  <si>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</si>
  <si>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</si>
  <si>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</si>
  <si>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</si>
  <si>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</si>
  <si>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</si>
  <si>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</si>
  <si>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</si>
  <si>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</si>
  <si>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</si>
  <si>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</si>
  <si>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</si>
  <si>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</si>
  <si>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</si>
  <si>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</si>
  <si>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</si>
  <si>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</si>
  <si>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</si>
  <si>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</si>
  <si>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</si>
  <si>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</si>
  <si>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</si>
  <si>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</si>
  <si>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</si>
  <si>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</si>
  <si>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</si>
  <si>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</si>
  <si>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</si>
  <si>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</si>
  <si>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</si>
  <si>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</si>
  <si>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</si>
  <si>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</si>
  <si>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</si>
  <si>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</si>
  <si>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</si>
  <si>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</si>
  <si>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</si>
  <si>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</si>
  <si>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</si>
  <si>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</si>
  <si>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</si>
  <si>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</si>
  <si>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</si>
  <si>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</si>
  <si>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</si>
  <si>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</si>
  <si>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</si>
  <si>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</si>
  <si>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</si>
  <si>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</si>
  <si>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</si>
  <si>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</si>
  <si>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</si>
  <si>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</si>
  <si>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</si>
  <si>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</si>
  <si>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</si>
  <si>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</si>
  <si>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</si>
  <si>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</si>
  <si>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</si>
  <si>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</si>
  <si>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</si>
  <si>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</si>
  <si>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</si>
  <si>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</si>
  <si>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</si>
  <si>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</si>
  <si>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</si>
  <si>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</si>
  <si>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</si>
  <si>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</si>
  <si>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</si>
  <si>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</si>
  <si>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</si>
  <si>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</si>
  <si>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</si>
  <si>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</si>
  <si>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</si>
  <si>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</si>
  <si>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</si>
  <si>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</si>
  <si>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</si>
  <si>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</si>
  <si>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</si>
  <si>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</si>
  <si>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</si>
  <si>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</si>
  <si>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</si>
  <si>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</si>
  <si>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</si>
  <si>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</si>
  <si>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</si>
  <si>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</si>
  <si>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</si>
  <si>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</si>
  <si>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</si>
  <si>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</si>
  <si>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</si>
  <si>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</si>
  <si>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</si>
  <si>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</si>
  <si>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</si>
  <si>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</si>
  <si>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</si>
  <si>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</si>
  <si>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</si>
  <si>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</si>
  <si>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</si>
  <si>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</si>
  <si>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</si>
  <si>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</si>
  <si>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</si>
  <si>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</si>
  <si>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</si>
  <si>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</si>
  <si>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</si>
  <si>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</si>
  <si>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</si>
  <si>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</si>
  <si>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</si>
  <si>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</si>
  <si>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</si>
  <si>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</si>
  <si>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</si>
  <si>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</si>
  <si>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</si>
  <si>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</si>
  <si>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</si>
  <si>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</si>
  <si>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</si>
  <si>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</si>
  <si>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</si>
  <si>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</si>
  <si>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</si>
  <si>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</si>
  <si>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</si>
  <si>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</si>
  <si>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</si>
  <si>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</si>
  <si>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</si>
  <si>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</si>
  <si>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</si>
  <si>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</si>
  <si>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</si>
  <si>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</si>
  <si>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</si>
  <si>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</si>
  <si>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</si>
  <si>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</si>
  <si>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</si>
  <si>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</si>
  <si>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</si>
  <si>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</si>
  <si>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</si>
  <si>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</si>
  <si>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</si>
  <si>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</si>
  <si>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</si>
  <si>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</si>
  <si>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</si>
  <si>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</si>
  <si>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</si>
  <si>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</si>
  <si>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</si>
  <si>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</si>
  <si>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</si>
  <si>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</si>
  <si>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</si>
  <si>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</si>
  <si>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</si>
  <si>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</si>
  <si>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</si>
  <si>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</si>
  <si>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</si>
  <si>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</si>
  <si>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</si>
  <si>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</si>
  <si>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</si>
  <si>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</si>
  <si>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</si>
  <si>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</si>
  <si>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</si>
  <si>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</si>
  <si>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</si>
  <si>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</si>
  <si>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</si>
  <si>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</si>
  <si>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</si>
  <si>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</si>
  <si>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</si>
  <si>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</si>
  <si>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</si>
  <si>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</si>
  <si>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</si>
  <si>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</si>
  <si>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</si>
  <si>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</si>
  <si>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</si>
  <si>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</si>
  <si>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</si>
  <si>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</si>
  <si>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</si>
  <si>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</si>
  <si>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</si>
  <si>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</si>
  <si>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</si>
  <si>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</si>
  <si>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</si>
  <si>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</si>
  <si>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</si>
  <si>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</si>
  <si>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</si>
  <si>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</si>
  <si>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</si>
  <si>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</si>
  <si>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</si>
  <si>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</si>
  <si>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</si>
  <si>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</si>
  <si>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</si>
  <si>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</si>
  <si>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</si>
  <si>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</si>
  <si>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</si>
  <si>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</si>
  <si>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</si>
  <si>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</si>
  <si>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</si>
  <si>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</si>
  <si>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</si>
  <si>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</si>
  <si>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</si>
  <si>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</si>
  <si>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</si>
  <si>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</si>
  <si>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</si>
  <si>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</si>
  <si>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</si>
  <si>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</si>
  <si>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</si>
  <si>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</si>
  <si>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</si>
  <si>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</si>
  <si>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</si>
  <si>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</si>
  <si>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</si>
  <si>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</si>
  <si>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</si>
  <si>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</si>
  <si>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</si>
  <si>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</si>
  <si>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</si>
  <si>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</si>
  <si>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</si>
  <si>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</si>
  <si>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</si>
  <si>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</si>
  <si>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</si>
  <si>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</si>
  <si>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</si>
  <si>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</si>
  <si>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</si>
  <si>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</si>
  <si>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</si>
  <si>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</si>
  <si>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</si>
  <si>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</si>
  <si>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</si>
  <si>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</si>
  <si>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</si>
  <si>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</si>
  <si>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</si>
  <si>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</si>
  <si>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</si>
  <si>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</si>
  <si>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</si>
  <si>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</si>
  <si>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</si>
  <si>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</si>
  <si>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</si>
  <si>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</si>
  <si>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</si>
  <si>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</si>
  <si>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</si>
  <si>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</si>
  <si>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</si>
  <si>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</si>
  <si>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</si>
  <si>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</si>
  <si>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</si>
  <si>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</si>
  <si>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</si>
  <si>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</si>
  <si>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</si>
  <si>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</si>
  <si>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</si>
  <si>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</si>
  <si>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</si>
  <si>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</si>
  <si>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</si>
  <si>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</si>
  <si>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</si>
  <si>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</si>
  <si>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</si>
  <si>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</si>
  <si>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</si>
  <si>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</si>
  <si>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</si>
  <si>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</si>
  <si>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</si>
  <si>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</si>
  <si>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</si>
  <si>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</si>
  <si>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</si>
  <si>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</si>
  <si>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</si>
  <si>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</si>
  <si>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</si>
  <si>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</si>
  <si>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</si>
  <si>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</si>
  <si>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</si>
  <si>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</si>
  <si>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</si>
  <si>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</si>
  <si>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</si>
  <si>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</si>
  <si>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</si>
  <si>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</si>
  <si>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</si>
  <si>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</si>
  <si>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</si>
  <si>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</si>
  <si>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</si>
  <si>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</si>
  <si>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</si>
  <si>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</si>
  <si>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</si>
  <si>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</si>
  <si>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</si>
  <si>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</si>
  <si>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</si>
  <si>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</si>
  <si>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</si>
  <si>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</si>
  <si>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</si>
  <si>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</si>
  <si>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</si>
  <si>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</si>
  <si>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</si>
  <si>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</si>
  <si>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</si>
  <si>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</si>
  <si>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</si>
  <si>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</si>
  <si>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</si>
  <si>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</si>
  <si>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</si>
  <si>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</si>
  <si>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</si>
  <si>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</si>
  <si>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</si>
  <si>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</si>
  <si>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</si>
  <si>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</si>
  <si>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</si>
  <si>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</si>
  <si>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</si>
  <si>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</si>
  <si>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</si>
  <si>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</si>
  <si>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</si>
  <si>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</si>
  <si>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</si>
  <si>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</si>
  <si>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</si>
  <si>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</si>
  <si>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</si>
  <si>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</si>
  <si>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</si>
  <si>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</si>
  <si>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</si>
  <si>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</si>
  <si>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</si>
  <si>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</si>
  <si>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</si>
  <si>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</si>
  <si>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</si>
  <si>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</si>
  <si>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</si>
  <si>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</si>
  <si>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</si>
  <si>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</si>
  <si>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</si>
  <si>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</si>
  <si>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</si>
  <si>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</si>
  <si>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</si>
  <si>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</si>
  <si>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</si>
  <si>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</si>
  <si>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</si>
  <si>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</si>
  <si>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</si>
  <si>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</si>
  <si>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</si>
  <si>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</si>
  <si>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</si>
  <si>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</si>
  <si>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</si>
  <si>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</si>
  <si>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</si>
  <si>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</si>
  <si>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</si>
  <si>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</si>
  <si>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</si>
  <si>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</si>
  <si>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</si>
  <si>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</si>
  <si>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</si>
  <si>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</si>
  <si>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</si>
  <si>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</si>
  <si>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</si>
  <si>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</si>
  <si>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</si>
  <si>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</si>
  <si>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</si>
  <si>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</si>
  <si>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</si>
  <si>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</si>
  <si>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</si>
  <si>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</si>
  <si>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</si>
  <si>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</si>
  <si>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</si>
  <si>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</si>
  <si>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</si>
  <si>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</si>
  <si>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</si>
  <si>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</si>
  <si>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</si>
  <si>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</si>
  <si>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</si>
  <si>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</si>
  <si>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</si>
  <si>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</si>
  <si>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</si>
  <si>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</si>
  <si>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</si>
  <si>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</si>
  <si>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</si>
  <si>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</si>
  <si>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</si>
  <si>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</si>
  <si>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</si>
  <si>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</si>
  <si>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</si>
  <si>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</si>
  <si>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</si>
  <si>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</si>
  <si>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</si>
  <si>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</si>
  <si>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</si>
  <si>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</si>
  <si>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</si>
  <si>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</si>
  <si>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</si>
  <si>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</si>
  <si>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</si>
  <si>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</si>
  <si>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</si>
  <si>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</si>
  <si>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</si>
  <si>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</si>
  <si>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</si>
  <si>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</si>
  <si>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</si>
  <si>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</si>
  <si>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</si>
  <si>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</si>
  <si>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</si>
  <si>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</si>
  <si>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</si>
  <si>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</si>
  <si>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</si>
  <si>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</si>
  <si>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</si>
  <si>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</si>
  <si>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</si>
  <si>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</si>
  <si>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</si>
  <si>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</si>
  <si>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</si>
  <si>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</si>
  <si>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</si>
  <si>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</si>
  <si>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</si>
  <si>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</si>
  <si>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</si>
  <si>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</si>
  <si>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</si>
  <si>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</si>
  <si>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</si>
  <si>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</si>
  <si>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</si>
  <si>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</si>
  <si>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</si>
  <si>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</si>
  <si>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</si>
  <si>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</si>
  <si>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</si>
  <si>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</si>
  <si>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</si>
  <si>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</si>
  <si>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</si>
  <si>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</si>
  <si>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</si>
  <si>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</si>
  <si>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</si>
  <si>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</si>
  <si>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</si>
  <si>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</si>
  <si>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</si>
  <si>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</si>
  <si>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</si>
  <si>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</si>
  <si>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</si>
  <si>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</si>
  <si>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</si>
  <si>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</si>
  <si>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</si>
  <si>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</si>
  <si>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</si>
  <si>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</si>
  <si>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</si>
  <si>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</si>
  <si>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</si>
  <si>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</si>
  <si>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</si>
  <si>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</si>
  <si>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</si>
  <si>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</si>
  <si>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</si>
  <si>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</si>
  <si>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</si>
  <si>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</si>
  <si>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</si>
  <si>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</si>
  <si>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</si>
  <si>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</si>
  <si>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</si>
  <si>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</si>
  <si>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</si>
  <si>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</si>
  <si>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</si>
  <si>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</si>
  <si>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</si>
  <si>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</si>
  <si>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</si>
  <si>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</si>
  <si>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</si>
  <si>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</si>
  <si>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</si>
  <si>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</si>
  <si>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</si>
  <si>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</si>
  <si>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</si>
  <si>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</si>
  <si>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</si>
  <si>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</si>
  <si>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</si>
  <si>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</si>
  <si>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</si>
  <si>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</si>
  <si>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</si>
  <si>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</si>
  <si>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</si>
  <si>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</si>
  <si>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</si>
  <si>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</si>
  <si>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</si>
  <si>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</si>
  <si>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</si>
  <si>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</si>
  <si>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</si>
  <si>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</si>
  <si>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</si>
  <si>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</si>
  <si>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</si>
  <si>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</si>
  <si>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</si>
  <si>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</si>
  <si>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</si>
  <si>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</si>
  <si>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</si>
  <si>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</si>
  <si>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</si>
  <si>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</si>
  <si>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</si>
  <si>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</si>
  <si>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</si>
  <si>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</si>
  <si>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</si>
  <si>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</si>
  <si>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</si>
  <si>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</si>
  <si>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</si>
  <si>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</si>
  <si>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</si>
  <si>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</si>
  <si>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</si>
  <si>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</si>
  <si>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</si>
  <si>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</si>
  <si>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</si>
  <si>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</si>
  <si>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</si>
  <si>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</si>
  <si>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</si>
  <si>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</si>
  <si>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</si>
  <si>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</si>
  <si>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</si>
  <si>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</si>
  <si>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</si>
  <si>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</si>
  <si>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</si>
  <si>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</si>
  <si>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</si>
  <si>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</si>
  <si>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</si>
  <si>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</si>
  <si>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</si>
  <si>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</si>
  <si>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</si>
  <si>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</si>
  <si>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</si>
  <si>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</si>
  <si>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</si>
  <si>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</si>
  <si>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</si>
  <si>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</si>
  <si>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</si>
  <si>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</si>
  <si>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</si>
  <si>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</si>
  <si>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</si>
  <si>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</si>
  <si>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</si>
  <si>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</si>
  <si>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</si>
  <si>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</si>
  <si>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</si>
  <si>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</si>
  <si>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</si>
  <si>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</si>
  <si>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</si>
  <si>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</si>
  <si>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</si>
  <si>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</si>
  <si>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</si>
  <si>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</si>
  <si>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</si>
  <si>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</si>
  <si>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</si>
  <si>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</si>
  <si>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</si>
  <si>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</si>
  <si>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</si>
  <si>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</si>
  <si>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</si>
  <si>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</si>
  <si>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</si>
  <si>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</si>
  <si>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</si>
  <si>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</si>
  <si>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</si>
  <si>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</si>
  <si>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</si>
  <si>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</si>
  <si>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</si>
  <si>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</si>
  <si>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</si>
  <si>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</si>
  <si>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</si>
  <si>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</si>
  <si>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</si>
  <si>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</si>
  <si>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</si>
  <si>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</si>
  <si>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</si>
  <si>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</si>
  <si>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</si>
  <si>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</si>
  <si>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</si>
  <si>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</si>
  <si>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</si>
  <si>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</si>
  <si>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</si>
  <si>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</si>
  <si>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</si>
  <si>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</si>
  <si>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</si>
  <si>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</si>
  <si>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</si>
  <si>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</si>
  <si>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</si>
  <si>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</si>
  <si>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</si>
  <si>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</si>
  <si>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</si>
  <si>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</si>
  <si>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</si>
  <si>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</si>
  <si>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</si>
  <si>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</si>
  <si>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</si>
  <si>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</si>
  <si>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</si>
  <si>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</si>
  <si>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</si>
  <si>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</si>
  <si>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</si>
  <si>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</si>
  <si>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</si>
  <si>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</si>
  <si>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</si>
  <si>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</si>
  <si>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</si>
  <si>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</si>
  <si>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</si>
  <si>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</si>
  <si>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</si>
  <si>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</si>
  <si>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</si>
  <si>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</si>
  <si>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</si>
  <si>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</si>
  <si>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</si>
  <si>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</si>
  <si>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</si>
  <si>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</si>
  <si>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</si>
  <si>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</si>
  <si>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</si>
  <si>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</si>
  <si>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</si>
  <si>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</si>
  <si>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</si>
  <si>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</si>
  <si>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</si>
  <si>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</si>
  <si>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</si>
  <si>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</si>
  <si>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</si>
  <si>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</si>
  <si>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</si>
  <si>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</si>
  <si>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</si>
  <si>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</si>
  <si>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</si>
  <si>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</si>
  <si>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</si>
  <si>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</si>
  <si>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</si>
  <si>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</si>
  <si>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</si>
  <si>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</si>
  <si>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</si>
  <si>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</si>
  <si>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</si>
  <si>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</si>
  <si>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</si>
  <si>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</si>
  <si>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</si>
  <si>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</si>
  <si>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</si>
  <si>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</si>
  <si>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</si>
  <si>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</si>
  <si>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</si>
  <si>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</si>
  <si>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</si>
  <si>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</si>
  <si>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</si>
  <si>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</si>
  <si>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</si>
  <si>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</si>
  <si>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</si>
  <si>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</si>
  <si>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</si>
  <si>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</si>
  <si>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</si>
  <si>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</si>
  <si>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</si>
  <si>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</si>
  <si>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</si>
  <si>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</si>
  <si>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</si>
  <si>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</si>
  <si>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</si>
  <si>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</si>
  <si>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</si>
  <si>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</si>
  <si>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</si>
  <si>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</si>
  <si>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</si>
  <si>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</si>
  <si>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</si>
  <si>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</si>
  <si>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</si>
  <si>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</si>
  <si>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</si>
  <si>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</si>
  <si>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</si>
  <si>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</si>
  <si>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</si>
  <si>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</si>
  <si>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</si>
  <si>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</si>
  <si>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</si>
  <si>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</si>
  <si>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</si>
  <si>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</si>
  <si>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</si>
  <si>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</si>
  <si>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</si>
  <si>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</si>
  <si>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</si>
  <si>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</si>
  <si>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</si>
  <si>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</si>
  <si>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</si>
  <si>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</si>
  <si>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</si>
  <si>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</si>
  <si>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</si>
  <si>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</si>
  <si>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</si>
  <si>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</si>
  <si>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</si>
  <si>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</si>
  <si>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</si>
  <si>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</si>
  <si>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</si>
  <si>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</si>
  <si>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</si>
  <si>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</si>
  <si>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</si>
  <si>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</si>
  <si>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</si>
  <si>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</si>
  <si>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</si>
  <si>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</si>
  <si>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</si>
  <si>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</si>
  <si>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</si>
  <si>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</si>
  <si>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</si>
  <si>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</si>
  <si>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</si>
  <si>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</si>
  <si>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</si>
  <si>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</si>
  <si>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</si>
  <si>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</si>
  <si>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</si>
  <si>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</si>
  <si>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</si>
  <si>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</si>
  <si>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</si>
  <si>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</si>
  <si>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</si>
  <si>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</si>
  <si>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</si>
  <si>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</si>
  <si>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</si>
  <si>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</si>
  <si>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</si>
  <si>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</si>
  <si>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</si>
  <si>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</si>
  <si>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</si>
  <si>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</si>
  <si>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</si>
  <si>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</si>
  <si>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</si>
  <si>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</si>
  <si>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</si>
  <si>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</si>
  <si>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</si>
  <si>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</si>
  <si>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</si>
  <si>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</si>
  <si>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</si>
  <si>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</si>
  <si>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</si>
  <si>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</si>
  <si>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</si>
  <si>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</si>
  <si>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</si>
  <si>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</si>
  <si>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</si>
  <si>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</si>
  <si>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</si>
  <si>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</si>
  <si>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</si>
  <si>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</si>
  <si>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</si>
  <si>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</si>
  <si>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</si>
  <si>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</si>
  <si>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</si>
  <si>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</si>
  <si>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</si>
  <si>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</si>
  <si>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</si>
  <si>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</si>
  <si>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</si>
  <si>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</si>
  <si>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</si>
  <si>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</si>
  <si>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</si>
  <si>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</si>
  <si>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</si>
  <si>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</si>
  <si>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</si>
  <si>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</si>
  <si>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</si>
  <si>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</si>
  <si>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</si>
  <si>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</si>
  <si>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</si>
  <si>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</si>
  <si>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</si>
  <si>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</si>
  <si>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</si>
  <si>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</si>
  <si>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</si>
  <si>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</si>
  <si>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</si>
  <si>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</si>
  <si>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</si>
  <si>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</si>
  <si>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</si>
  <si>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</si>
  <si>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</si>
  <si>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</si>
  <si>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</si>
  <si>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</si>
  <si>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</si>
  <si>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</si>
  <si>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</si>
  <si>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</si>
  <si>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</si>
  <si>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</si>
  <si>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</si>
  <si>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</si>
  <si>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</si>
  <si>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</si>
  <si>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</si>
  <si>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</si>
  <si>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</si>
  <si>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</si>
  <si>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</si>
  <si>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</si>
  <si>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</si>
  <si>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</si>
  <si>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</si>
  <si>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</si>
  <si>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</si>
  <si>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</si>
  <si>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</si>
  <si>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</si>
  <si>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</si>
  <si>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</si>
  <si>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</si>
  <si>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</si>
  <si>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</si>
  <si>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</si>
  <si>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</si>
  <si>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</si>
  <si>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</si>
  <si>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</si>
  <si>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</si>
  <si>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</si>
  <si>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</si>
  <si>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</si>
  <si>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</si>
  <si>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</si>
  <si>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</si>
  <si>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</si>
  <si>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</si>
  <si>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</si>
  <si>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</si>
  <si>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</si>
  <si>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</si>
  <si>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</si>
  <si>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</si>
  <si>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</si>
  <si>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</si>
  <si>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</si>
  <si>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</si>
  <si>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</si>
  <si>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</si>
  <si>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</si>
  <si>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</si>
  <si>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</si>
  <si>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</si>
  <si>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</si>
  <si>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</si>
  <si>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</si>
  <si>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</si>
  <si>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</si>
  <si>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</si>
  <si>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</si>
  <si>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</si>
  <si>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</si>
  <si>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</si>
  <si>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</si>
  <si>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</si>
  <si>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</si>
  <si>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</si>
  <si>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</si>
  <si>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</si>
  <si>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</si>
  <si>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</si>
  <si>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</si>
  <si>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</si>
  <si>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</si>
  <si>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</si>
  <si>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</si>
  <si>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</si>
  <si>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</si>
  <si>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</si>
  <si>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</si>
  <si>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</si>
  <si>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</si>
  <si>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</si>
  <si>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</si>
  <si>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</si>
  <si>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</si>
  <si>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</si>
  <si>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</si>
  <si>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</si>
  <si>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</si>
  <si>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</si>
  <si>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</si>
  <si>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</si>
  <si>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</si>
  <si>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</si>
  <si>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</si>
  <si>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</si>
  <si>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</si>
  <si>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</si>
  <si>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</si>
  <si>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</si>
  <si>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</si>
  <si>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</si>
  <si>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</si>
  <si>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</si>
  <si>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</si>
  <si>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</si>
  <si>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</si>
  <si>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</si>
  <si>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</si>
  <si>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</si>
  <si>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</si>
  <si>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</si>
  <si>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</si>
  <si>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</si>
  <si>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</si>
  <si>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</si>
  <si>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</si>
  <si>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</si>
  <si>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</si>
  <si>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</si>
  <si>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</si>
  <si>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</si>
  <si>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</si>
  <si>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</si>
  <si>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</si>
  <si>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</si>
  <si>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</si>
  <si>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</si>
  <si>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</si>
  <si>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</si>
  <si>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</si>
  <si>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</si>
  <si>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</si>
  <si>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</si>
  <si>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</si>
  <si>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</si>
  <si>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</si>
  <si>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</si>
  <si>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</si>
  <si>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</si>
  <si>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</si>
  <si>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</si>
  <si>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</si>
  <si>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</si>
  <si>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</si>
  <si>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</si>
  <si>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</si>
  <si>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</si>
  <si>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</si>
  <si>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</si>
  <si>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</si>
  <si>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</si>
  <si>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</si>
  <si>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</si>
  <si>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</si>
  <si>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</si>
  <si>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</si>
  <si>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</si>
  <si>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</si>
  <si>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</si>
  <si>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</si>
  <si>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</si>
  <si>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</si>
  <si>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</si>
  <si>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</si>
  <si>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</si>
  <si>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</si>
  <si>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</si>
  <si>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</si>
  <si>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</si>
  <si>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</si>
  <si>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</si>
  <si>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</si>
  <si>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</si>
  <si>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</si>
  <si>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</si>
  <si>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</si>
  <si>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</si>
  <si>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</si>
  <si>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</si>
  <si>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</si>
  <si>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</si>
  <si>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</si>
  <si>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</si>
  <si>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</si>
  <si>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</si>
  <si>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</si>
  <si>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</si>
  <si>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</si>
  <si>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</si>
  <si>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</si>
  <si>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</si>
  <si>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</si>
  <si>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</si>
  <si>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</si>
  <si>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</si>
  <si>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</si>
  <si>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</si>
  <si>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</si>
  <si>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</si>
  <si>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</si>
  <si>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</si>
  <si>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</si>
  <si>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</si>
  <si>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</si>
  <si>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</si>
  <si>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</si>
  <si>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</si>
  <si>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</si>
  <si>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</si>
  <si>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</si>
  <si>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</si>
  <si>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</si>
  <si>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</si>
  <si>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</si>
  <si>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</si>
  <si>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</si>
  <si>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</si>
  <si>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</si>
  <si>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</si>
  <si>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</si>
  <si>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</si>
  <si>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</si>
  <si>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</si>
  <si>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</si>
  <si>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</si>
  <si>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</si>
  <si>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</si>
  <si>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</si>
  <si>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</si>
  <si>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</si>
  <si>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</si>
  <si>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</si>
  <si>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</si>
  <si>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</si>
  <si>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</si>
  <si>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</si>
  <si>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</si>
  <si>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</si>
  <si>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</si>
  <si>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</si>
  <si>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</si>
  <si>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</si>
  <si>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</si>
  <si>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</si>
  <si>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</si>
  <si>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</si>
  <si>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</si>
  <si>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</si>
  <si>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</si>
  <si>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</si>
  <si>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</si>
  <si>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</si>
  <si>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</si>
  <si>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</si>
  <si>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</si>
  <si>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</si>
  <si>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</si>
  <si>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</si>
  <si>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</si>
  <si>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</si>
  <si>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</si>
  <si>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</si>
  <si>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</si>
  <si>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</si>
  <si>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</si>
  <si>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</si>
  <si>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</si>
  <si>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</si>
  <si>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</si>
  <si>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</si>
  <si>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</si>
  <si>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</si>
  <si>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</si>
  <si>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</si>
  <si>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</si>
  <si>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</si>
  <si>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</si>
  <si>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</si>
  <si>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</si>
  <si>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</si>
  <si>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</si>
  <si>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</si>
  <si>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</si>
  <si>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</si>
  <si>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</si>
  <si>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</si>
  <si>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</si>
  <si>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</si>
  <si>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</si>
  <si>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</si>
  <si>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</si>
  <si>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</si>
  <si>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</si>
  <si>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</si>
  <si>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</si>
  <si>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</si>
  <si>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</si>
  <si>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</si>
  <si>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</si>
  <si>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</si>
  <si>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</si>
  <si>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</si>
  <si>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</si>
  <si>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</si>
  <si>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</si>
  <si>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</si>
  <si>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</si>
  <si>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</si>
  <si>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</si>
  <si>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</si>
  <si>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</si>
  <si>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</si>
  <si>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</si>
  <si>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</si>
  <si>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</si>
  <si>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</si>
  <si>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</si>
  <si>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</si>
  <si>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</si>
  <si>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</si>
  <si>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</si>
  <si>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</si>
  <si>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</si>
  <si>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</si>
  <si>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</si>
  <si>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</si>
  <si>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</si>
  <si>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</si>
  <si>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</si>
  <si>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</si>
  <si>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</si>
  <si>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</si>
  <si>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</si>
  <si>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</si>
  <si>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</si>
  <si>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</si>
  <si>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</si>
  <si>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</si>
  <si>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</si>
  <si>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</si>
  <si>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</si>
  <si>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</si>
  <si>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</si>
  <si>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</si>
  <si>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</si>
  <si>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</si>
  <si>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</si>
  <si>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</si>
  <si>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</si>
  <si>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</si>
  <si>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</si>
  <si>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</si>
  <si>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</si>
  <si>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</si>
  <si>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</si>
  <si>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</si>
  <si>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</si>
  <si>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</si>
  <si>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</si>
  <si>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</si>
  <si>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</si>
  <si>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</si>
  <si>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</si>
  <si>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</si>
  <si>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</si>
  <si>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</si>
  <si>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</si>
  <si>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</si>
  <si>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</si>
  <si>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</si>
  <si>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</si>
  <si>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</si>
  <si>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</si>
  <si>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</si>
  <si>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</si>
  <si>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</si>
  <si>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</si>
  <si>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</si>
  <si>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</si>
  <si>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</si>
  <si>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</si>
  <si>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</si>
  <si>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</si>
  <si>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</si>
  <si>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</si>
  <si>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</si>
  <si>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</si>
  <si>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</si>
  <si>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</si>
  <si>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</si>
  <si>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</si>
  <si>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</si>
  <si>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</si>
  <si>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</si>
  <si>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</si>
  <si>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</si>
  <si>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</si>
  <si>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</si>
  <si>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</si>
  <si>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</si>
  <si>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</si>
  <si>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</si>
  <si>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</si>
  <si>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</si>
  <si>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</si>
  <si>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</si>
  <si>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</si>
  <si>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</si>
  <si>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</si>
  <si>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</si>
  <si>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</si>
  <si>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</si>
  <si>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</si>
  <si>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</si>
  <si>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</si>
  <si>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</si>
  <si>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</si>
  <si>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</si>
  <si>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</si>
  <si>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</si>
  <si>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</si>
  <si>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</si>
  <si>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</si>
  <si>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</si>
  <si>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</si>
  <si>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</si>
  <si>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</si>
  <si>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</si>
  <si>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</si>
  <si>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</si>
  <si>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</si>
  <si>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</si>
  <si>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</si>
  <si>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</si>
  <si>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</si>
  <si>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</si>
  <si>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</si>
  <si>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</si>
  <si>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</si>
  <si>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</si>
  <si>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</si>
  <si>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</si>
  <si>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</si>
  <si>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</si>
  <si>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</si>
  <si>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</si>
  <si>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</si>
  <si>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</si>
  <si>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</si>
  <si>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</si>
  <si>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</si>
  <si>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</si>
  <si>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</si>
  <si>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</si>
  <si>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</si>
  <si>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</si>
  <si>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</si>
  <si>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</si>
  <si>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</si>
  <si>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</si>
  <si>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</si>
  <si>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</si>
  <si>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</si>
  <si>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</si>
  <si>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</si>
  <si>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</si>
  <si>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</si>
  <si>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</si>
  <si>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</si>
  <si>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</si>
  <si>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</si>
  <si>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</si>
  <si>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</si>
  <si>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</si>
  <si>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</si>
  <si>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</si>
  <si>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</si>
  <si>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</si>
  <si>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</si>
  <si>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</si>
  <si>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</si>
  <si>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</si>
  <si>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</si>
  <si>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</si>
  <si>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</si>
  <si>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</si>
  <si>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</si>
  <si>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</si>
  <si>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</si>
  <si>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</si>
  <si>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</si>
  <si>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</si>
  <si>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</si>
  <si>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</si>
  <si>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</si>
  <si>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</si>
  <si>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</si>
  <si>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</si>
  <si>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</si>
  <si>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</si>
  <si>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</si>
  <si>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</si>
  <si>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</si>
  <si>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</si>
  <si>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</si>
  <si>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</si>
  <si>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</si>
  <si>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</si>
  <si>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</si>
  <si>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</si>
  <si>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</si>
  <si>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</si>
  <si>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</si>
  <si>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</si>
  <si>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</si>
  <si>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</si>
  <si>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</si>
  <si>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</si>
  <si>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</si>
  <si>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</si>
  <si>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</si>
  <si>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</si>
  <si>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</si>
  <si>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</si>
  <si>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</si>
  <si>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</si>
  <si>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</si>
  <si>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</si>
  <si>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</si>
  <si>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</si>
  <si>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</si>
  <si>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</si>
  <si>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</si>
  <si>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</si>
  <si>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</si>
  <si>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</si>
  <si>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</si>
  <si>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</si>
  <si>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</si>
  <si>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</si>
  <si>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</si>
  <si>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</si>
  <si>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</si>
  <si>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</si>
  <si>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</si>
  <si>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</si>
  <si>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</si>
  <si>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</si>
  <si>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</si>
  <si>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</si>
  <si>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</si>
  <si>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</si>
  <si>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</si>
  <si>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</si>
  <si>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</si>
  <si>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</si>
  <si>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</si>
  <si>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</si>
  <si>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</si>
  <si>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</si>
  <si>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</si>
  <si>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</si>
  <si>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</si>
  <si>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</si>
  <si>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</si>
  <si>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</si>
  <si>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</si>
  <si>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</si>
  <si>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</si>
  <si>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</si>
  <si>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</si>
  <si>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</si>
  <si>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</si>
  <si>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</si>
  <si>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</si>
  <si>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</si>
  <si>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</si>
  <si>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</si>
  <si>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</si>
  <si>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</si>
  <si>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</si>
  <si>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</si>
  <si>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</si>
  <si>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</si>
  <si>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</si>
  <si>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</si>
  <si>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</si>
  <si>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</si>
  <si>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</si>
  <si>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</si>
  <si>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</si>
  <si>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</si>
  <si>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</si>
  <si>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</si>
  <si>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</si>
  <si>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</si>
  <si>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</si>
  <si>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</si>
  <si>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</si>
  <si>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</si>
  <si>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</si>
  <si>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</si>
  <si>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</si>
  <si>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</si>
  <si>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</si>
  <si>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</si>
  <si>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</si>
  <si>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</si>
  <si>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</si>
  <si>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</si>
  <si>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</si>
  <si>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</si>
  <si>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</si>
  <si>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</si>
  <si>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</si>
  <si>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</si>
  <si>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</si>
  <si>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</si>
  <si>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</si>
  <si>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</si>
  <si>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</si>
  <si>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</si>
  <si>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</si>
  <si>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</si>
  <si>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</si>
  <si>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</si>
  <si>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</si>
  <si>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</si>
  <si>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</si>
  <si>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</si>
  <si>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</si>
  <si>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</si>
  <si>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</si>
  <si>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</si>
  <si>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</si>
  <si>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</si>
  <si>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</si>
  <si>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</si>
  <si>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</si>
  <si>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</si>
  <si>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</si>
  <si>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</si>
  <si>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</si>
  <si>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</si>
  <si>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</si>
  <si>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</si>
  <si>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</si>
  <si>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</si>
  <si>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</si>
  <si>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</si>
  <si>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</si>
  <si>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</si>
  <si>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</si>
  <si>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</si>
  <si>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</si>
  <si>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</si>
  <si>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</si>
  <si>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</si>
  <si>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</si>
  <si>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</si>
  <si>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</si>
  <si>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</si>
  <si>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</si>
  <si>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</si>
  <si>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</si>
  <si>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</si>
  <si>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</si>
  <si>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</si>
  <si>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</si>
  <si>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</si>
  <si>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</si>
  <si>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</si>
  <si>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</si>
  <si>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</si>
  <si>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</si>
  <si>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</si>
  <si>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</si>
  <si>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</si>
  <si>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</si>
  <si>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</si>
  <si>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</si>
  <si>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</si>
  <si>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</si>
  <si>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</si>
  <si>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</si>
  <si>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</si>
  <si>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</si>
  <si>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</si>
  <si>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</si>
  <si>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</si>
  <si>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</si>
  <si>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</si>
  <si>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</si>
  <si>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</si>
  <si>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</si>
  <si>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</si>
  <si>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</si>
  <si>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</si>
  <si>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</si>
  <si>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</si>
  <si>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</si>
  <si>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</si>
  <si>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</si>
  <si>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</si>
  <si>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</si>
  <si>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</si>
  <si>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</si>
  <si>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</si>
  <si>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</si>
  <si>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</si>
  <si>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</si>
  <si>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</si>
  <si>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</si>
  <si>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</si>
  <si>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</si>
  <si>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</si>
  <si>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</si>
  <si>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</si>
  <si>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</si>
  <si>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</si>
  <si>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</si>
  <si>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</si>
  <si>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</si>
  <si>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</si>
  <si>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</si>
  <si>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</si>
  <si>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</si>
  <si>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</si>
  <si>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</si>
  <si>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</si>
  <si>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</si>
  <si>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</si>
  <si>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</si>
  <si>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</si>
  <si>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</si>
  <si>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</si>
  <si>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</si>
  <si>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</si>
  <si>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</si>
  <si>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</si>
  <si>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</si>
  <si>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</si>
  <si>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</si>
  <si>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</si>
  <si>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</si>
  <si>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</si>
  <si>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</si>
  <si>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</si>
  <si>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</si>
  <si>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</si>
  <si>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</si>
  <si>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</si>
  <si>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</si>
  <si>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</si>
  <si>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</si>
  <si>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</si>
  <si>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</si>
  <si>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</si>
  <si>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</si>
  <si>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</si>
  <si>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</si>
  <si>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</si>
  <si>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</si>
  <si>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</si>
  <si>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</si>
  <si>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</si>
  <si>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</si>
  <si>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</si>
  <si>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</si>
  <si>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</si>
  <si>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</si>
  <si>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</si>
  <si>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</si>
  <si>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</si>
  <si>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</si>
  <si>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</si>
  <si>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</si>
  <si>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</si>
  <si>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</si>
  <si>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</si>
  <si>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</si>
  <si>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</si>
  <si>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</si>
  <si>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</si>
  <si>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</si>
  <si>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</si>
  <si>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</si>
  <si>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</si>
  <si>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</si>
  <si>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</si>
  <si>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</si>
  <si>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</si>
  <si>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</si>
  <si>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</si>
  <si>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</si>
  <si>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</si>
  <si>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</si>
  <si>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</si>
  <si>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</si>
  <si>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</si>
  <si>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</si>
  <si>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</si>
  <si>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</si>
  <si>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</si>
  <si>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</si>
  <si>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</si>
  <si>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</si>
  <si>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</si>
  <si>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</si>
  <si>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</si>
  <si>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</si>
  <si>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</si>
  <si>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</si>
  <si>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</si>
  <si>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</si>
  <si>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</si>
  <si>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</si>
  <si>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</si>
  <si>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</si>
  <si>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</si>
  <si>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</si>
  <si>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</si>
  <si>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</si>
  <si>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</si>
  <si>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</si>
  <si>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</si>
  <si>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</si>
  <si>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</si>
  <si>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</si>
  <si>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</si>
  <si>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</si>
  <si>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</si>
  <si>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</si>
  <si>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</si>
  <si>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</si>
  <si>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</si>
  <si>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</si>
  <si>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</si>
  <si>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</si>
  <si>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</si>
  <si>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</si>
  <si>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</si>
  <si>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</si>
  <si>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</si>
  <si>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</si>
  <si>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</si>
  <si>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</si>
  <si>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</si>
  <si>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</si>
  <si>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</si>
  <si>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</si>
  <si>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</si>
  <si>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</si>
  <si>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</si>
  <si>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</si>
  <si>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</si>
  <si>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</si>
  <si>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</si>
  <si>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</si>
  <si>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</si>
  <si>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</si>
  <si>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</si>
  <si>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</si>
  <si>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</si>
  <si>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</si>
  <si>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</si>
  <si>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</si>
  <si>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</si>
  <si>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</si>
  <si>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</si>
  <si>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</si>
  <si>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</si>
  <si>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</si>
  <si>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</si>
  <si>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</si>
  <si>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</si>
  <si>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</si>
  <si>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</si>
  <si>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</si>
  <si>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</si>
  <si>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</si>
  <si>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</si>
  <si>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</si>
  <si>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</si>
  <si>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</si>
  <si>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</si>
  <si>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</si>
  <si>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</si>
  <si>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</si>
  <si>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</si>
  <si>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</si>
  <si>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</si>
  <si>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</si>
  <si>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</si>
  <si>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</si>
  <si>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</si>
  <si>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</si>
  <si>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</si>
  <si>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</si>
  <si>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</si>
  <si>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</si>
  <si>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</si>
  <si>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</si>
  <si>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</si>
  <si>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</si>
  <si>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</si>
  <si>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</si>
  <si>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</si>
  <si>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</si>
  <si>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</si>
  <si>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</si>
  <si>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</si>
  <si>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</si>
  <si>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</si>
  <si>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</si>
  <si>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</si>
  <si>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</si>
  <si>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</si>
  <si>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</si>
  <si>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</si>
  <si>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</si>
  <si>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</si>
  <si>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</si>
  <si>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</si>
  <si>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</si>
  <si>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</si>
  <si>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</si>
  <si>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</si>
  <si>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</si>
  <si>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</si>
  <si>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</si>
  <si>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</si>
  <si>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</si>
  <si>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</si>
  <si>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</si>
  <si>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</si>
  <si>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</si>
  <si>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</si>
  <si>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</si>
  <si>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</si>
  <si>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</si>
  <si>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</si>
  <si>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</si>
  <si>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</si>
  <si>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</si>
  <si>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</si>
  <si>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</si>
  <si>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</si>
  <si>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</si>
  <si>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</si>
  <si>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</si>
  <si>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</si>
  <si>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</si>
  <si>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</si>
  <si>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</si>
  <si>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</si>
  <si>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</si>
  <si>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</si>
  <si>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</si>
  <si>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</si>
  <si>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</si>
  <si>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</si>
  <si>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</si>
  <si>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</si>
  <si>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</si>
  <si>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</si>
  <si>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</si>
  <si>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</si>
  <si>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</si>
  <si>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</si>
  <si>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</si>
  <si>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</si>
  <si>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</si>
  <si>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</si>
  <si>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</si>
  <si>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</si>
  <si>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</si>
  <si>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</si>
  <si>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</si>
  <si>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</si>
  <si>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</si>
  <si>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</si>
  <si>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</si>
  <si>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</si>
  <si>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</si>
  <si>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</si>
  <si>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</si>
  <si>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</si>
  <si>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</si>
  <si>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</si>
  <si>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</si>
  <si>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</si>
  <si>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</si>
  <si>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</si>
  <si>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</si>
  <si>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</si>
  <si>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</si>
  <si>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</si>
  <si>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</si>
  <si>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</si>
  <si>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</si>
  <si>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</si>
  <si>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</si>
  <si>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</si>
  <si>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</si>
  <si>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</si>
  <si>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</si>
  <si>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</si>
  <si>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</si>
  <si>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</si>
  <si>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</si>
  <si>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</si>
  <si>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</si>
  <si>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</si>
  <si>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</si>
  <si>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</si>
  <si>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</si>
  <si>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</si>
  <si>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</si>
  <si>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</si>
  <si>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</si>
  <si>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</si>
  <si>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</si>
  <si>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</si>
  <si>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</si>
  <si>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</si>
  <si>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</si>
  <si>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</si>
  <si>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</si>
  <si>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</si>
  <si>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</si>
  <si>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</si>
  <si>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</si>
  <si>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</si>
  <si>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</si>
  <si>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</si>
  <si>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</si>
  <si>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</si>
  <si>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</si>
  <si>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</si>
  <si>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</si>
  <si>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</si>
  <si>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</si>
  <si>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</si>
  <si>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</si>
  <si>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</si>
  <si>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</si>
  <si>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</si>
  <si>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</si>
  <si>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</si>
  <si>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</si>
  <si>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</si>
  <si>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</si>
  <si>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</si>
  <si>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</si>
  <si>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</si>
  <si>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</si>
  <si>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</si>
  <si>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</si>
  <si>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</si>
  <si>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</si>
  <si>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</si>
  <si>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</si>
  <si>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</si>
  <si>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</si>
  <si>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</si>
  <si>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</si>
  <si>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</si>
  <si>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</si>
  <si>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</si>
  <si>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</si>
  <si>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</si>
  <si>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</si>
  <si>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</si>
  <si>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ОБЩИНА ГУЛЯНЦИ</t>
  </si>
  <si>
    <t>ГР. ГУЛЯНЦИ УЛ.ВАСИЛ ЛЕВСКИ 32</t>
  </si>
  <si>
    <t>Стела Иванова</t>
  </si>
  <si>
    <t>Лъчезар Яков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</si>
</sst>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3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  <xf numFmtId="0" fontId="268" fillId="0" borderId="0" applyNumberFormat="0" applyFill="0" applyBorder="0" applyAlignment="0" applyProtection="0"/>
  </cellStyleXfs>
  <cellXfs count="2652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9" fillId="16" borderId="169" xfId="0" applyFont="1" applyFill="1" applyBorder="1" applyProtection="1">
      <protection hidden="1"/>
    </xf>
    <xf numFmtId="0" fontId="270" fillId="16" borderId="170" xfId="0" applyFont="1" applyFill="1" applyBorder="1" applyProtection="1"/>
    <xf numFmtId="0" fontId="270" fillId="16" borderId="171" xfId="0" applyFont="1" applyFill="1" applyBorder="1" applyProtection="1"/>
    <xf numFmtId="0" fontId="269" fillId="16" borderId="172" xfId="0" applyFont="1" applyFill="1" applyBorder="1" applyProtection="1">
      <protection hidden="1"/>
    </xf>
    <xf numFmtId="0" fontId="270" fillId="16" borderId="0" xfId="0" applyFont="1" applyFill="1" applyBorder="1" applyProtection="1"/>
    <xf numFmtId="0" fontId="270" fillId="16" borderId="173" xfId="0" applyFont="1" applyFill="1" applyBorder="1" applyProtection="1"/>
    <xf numFmtId="0" fontId="269" fillId="16" borderId="174" xfId="0" applyFont="1" applyFill="1" applyBorder="1" applyProtection="1">
      <protection hidden="1"/>
    </xf>
    <xf numFmtId="0" fontId="270" fillId="16" borderId="11" xfId="0" applyFont="1" applyFill="1" applyBorder="1" applyProtection="1"/>
    <xf numFmtId="0" fontId="270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1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3" fillId="11" borderId="31" xfId="0" applyNumberFormat="1" applyFont="1" applyFill="1" applyBorder="1" applyProtection="1"/>
    <xf numFmtId="168" fontId="273" fillId="11" borderId="29" xfId="0" applyNumberFormat="1" applyFont="1" applyFill="1" applyBorder="1" applyProtection="1"/>
    <xf numFmtId="168" fontId="273" fillId="11" borderId="28" xfId="0" applyNumberFormat="1" applyFont="1" applyFill="1" applyBorder="1" applyProtection="1"/>
    <xf numFmtId="168" fontId="273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40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5" fillId="18" borderId="23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5" fillId="11" borderId="31" xfId="0" applyNumberFormat="1" applyFont="1" applyFill="1" applyBorder="1" applyProtection="1"/>
    <xf numFmtId="168" fontId="275" fillId="11" borderId="29" xfId="0" applyNumberFormat="1" applyFont="1" applyFill="1" applyBorder="1" applyProtection="1"/>
    <xf numFmtId="168" fontId="275" fillId="11" borderId="28" xfId="0" applyNumberFormat="1" applyFont="1" applyFill="1" applyBorder="1" applyProtection="1"/>
    <xf numFmtId="168" fontId="275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6" fillId="33" borderId="89" xfId="0" applyNumberFormat="1" applyFont="1" applyFill="1" applyBorder="1" applyAlignment="1" applyProtection="1">
      <alignment horizontal="center"/>
    </xf>
    <xf numFmtId="4" fontId="276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5" fillId="34" borderId="146" xfId="0" applyFont="1" applyFill="1" applyBorder="1" applyAlignment="1" applyProtection="1"/>
    <xf numFmtId="0" fontId="277" fillId="34" borderId="0" xfId="0" applyFont="1" applyFill="1" applyBorder="1" applyAlignment="1" applyProtection="1"/>
    <xf numFmtId="0" fontId="277" fillId="34" borderId="8" xfId="0" applyFont="1" applyFill="1" applyBorder="1" applyAlignment="1" applyProtection="1"/>
    <xf numFmtId="0" fontId="277" fillId="34" borderId="87" xfId="0" applyFont="1" applyFill="1" applyBorder="1" applyAlignment="1" applyProtection="1"/>
    <xf numFmtId="0" fontId="277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7" fillId="34" borderId="189" xfId="0" applyFont="1" applyFill="1" applyBorder="1" applyAlignment="1" applyProtection="1"/>
    <xf numFmtId="0" fontId="277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8" fillId="34" borderId="194" xfId="0" applyFont="1" applyFill="1" applyBorder="1" applyAlignment="1" applyProtection="1">
      <alignment horizontal="left"/>
    </xf>
    <xf numFmtId="0" fontId="279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0" fillId="34" borderId="88" xfId="0" applyNumberFormat="1" applyFont="1" applyFill="1" applyBorder="1" applyAlignment="1">
      <alignment horizontal="center"/>
    </xf>
    <xf numFmtId="16" fontId="281" fillId="34" borderId="70" xfId="0" applyNumberFormat="1" applyFont="1" applyFill="1" applyBorder="1" applyAlignment="1" applyProtection="1">
      <alignment horizontal="center"/>
    </xf>
    <xf numFmtId="4" fontId="282" fillId="2" borderId="0" xfId="0" applyNumberFormat="1" applyFont="1" applyFill="1" applyProtection="1"/>
    <xf numFmtId="171" fontId="272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3" fillId="34" borderId="199" xfId="0" applyFont="1" applyFill="1" applyBorder="1" applyAlignment="1" applyProtection="1">
      <alignment horizontal="left"/>
    </xf>
    <xf numFmtId="168" fontId="272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2" fillId="18" borderId="208" xfId="0" applyNumberFormat="1" applyFont="1" applyFill="1" applyBorder="1" applyProtection="1"/>
    <xf numFmtId="168" fontId="272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4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5" fillId="16" borderId="196" xfId="0" applyNumberFormat="1" applyFont="1" applyFill="1" applyBorder="1" applyAlignment="1" applyProtection="1">
      <alignment horizontal="center" vertical="center"/>
      <protection locked="0"/>
    </xf>
    <xf numFmtId="165" fontId="285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2" fillId="5" borderId="237" xfId="0" applyNumberFormat="1" applyFont="1" applyFill="1" applyBorder="1" applyAlignment="1" applyProtection="1">
      <alignment horizontal="center"/>
    </xf>
    <xf numFmtId="178" fontId="272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6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7" fillId="11" borderId="231" xfId="0" applyNumberFormat="1" applyFont="1" applyFill="1" applyBorder="1" applyAlignment="1">
      <alignment horizontal="center"/>
    </xf>
    <xf numFmtId="168" fontId="273" fillId="11" borderId="228" xfId="0" applyNumberFormat="1" applyFont="1" applyFill="1" applyBorder="1" applyAlignment="1" applyProtection="1"/>
    <xf numFmtId="168" fontId="273" fillId="11" borderId="232" xfId="0" applyNumberFormat="1" applyFont="1" applyFill="1" applyBorder="1" applyAlignment="1" applyProtection="1"/>
    <xf numFmtId="168" fontId="273" fillId="11" borderId="233" xfId="0" applyNumberFormat="1" applyFont="1" applyFill="1" applyBorder="1" applyAlignment="1" applyProtection="1"/>
    <xf numFmtId="168" fontId="273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1" fillId="11" borderId="88" xfId="0" applyNumberFormat="1" applyFont="1" applyFill="1" applyBorder="1" applyAlignment="1">
      <alignment horizontal="center"/>
    </xf>
    <xf numFmtId="168" fontId="275" fillId="11" borderId="148" xfId="0" applyNumberFormat="1" applyFont="1" applyFill="1" applyBorder="1" applyAlignment="1" applyProtection="1"/>
    <xf numFmtId="168" fontId="275" fillId="11" borderId="149" xfId="0" applyNumberFormat="1" applyFont="1" applyFill="1" applyBorder="1" applyAlignment="1" applyProtection="1"/>
    <xf numFmtId="168" fontId="275" fillId="11" borderId="150" xfId="0" applyNumberFormat="1" applyFont="1" applyFill="1" applyBorder="1" applyAlignment="1" applyProtection="1"/>
    <xf numFmtId="168" fontId="275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2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5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2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8" fillId="17" borderId="197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left"/>
    </xf>
    <xf numFmtId="0" fontId="279" fillId="17" borderId="146" xfId="0" applyFont="1" applyFill="1" applyBorder="1" applyAlignment="1" applyProtection="1">
      <alignment horizontal="right"/>
    </xf>
    <xf numFmtId="176" fontId="289" fillId="17" borderId="146" xfId="0" applyNumberFormat="1" applyFont="1" applyFill="1" applyBorder="1" applyAlignment="1" applyProtection="1">
      <alignment horizontal="center"/>
    </xf>
    <xf numFmtId="176" fontId="289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90" fillId="28" borderId="48" xfId="8" applyFont="1" applyFill="1" applyBorder="1" applyAlignment="1" applyProtection="1">
      <alignment horizontal="center"/>
    </xf>
    <xf numFmtId="38" fontId="291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2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3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4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5" fillId="40" borderId="219" xfId="0" applyNumberFormat="1" applyFont="1" applyFill="1" applyBorder="1" applyAlignment="1" applyProtection="1">
      <alignment horizontal="center"/>
    </xf>
    <xf numFmtId="168" fontId="295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4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6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80" fontId="288" fillId="16" borderId="98" xfId="0" applyNumberFormat="1" applyFont="1" applyFill="1" applyBorder="1" applyAlignment="1" applyProtection="1">
      <alignment horizontal="center"/>
    </xf>
    <xf numFmtId="171" fontId="297" fillId="17" borderId="83" xfId="0" applyNumberFormat="1" applyFont="1" applyFill="1" applyBorder="1" applyAlignment="1" applyProtection="1">
      <alignment horizontal="center"/>
    </xf>
    <xf numFmtId="171" fontId="297" fillId="17" borderId="254" xfId="0" applyNumberFormat="1" applyFont="1" applyFill="1" applyBorder="1" applyAlignment="1" applyProtection="1">
      <alignment horizontal="center"/>
    </xf>
    <xf numFmtId="171" fontId="297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8" fillId="16" borderId="333" xfId="0" applyFont="1" applyFill="1" applyBorder="1" applyAlignment="1" applyProtection="1">
      <alignment horizontal="left"/>
    </xf>
    <xf numFmtId="0" fontId="279" fillId="16" borderId="333" xfId="0" applyFont="1" applyFill="1" applyBorder="1" applyAlignment="1" applyProtection="1">
      <alignment horizontal="right"/>
    </xf>
    <xf numFmtId="176" fontId="289" fillId="16" borderId="333" xfId="0" applyNumberFormat="1" applyFont="1" applyFill="1" applyBorder="1" applyAlignment="1" applyProtection="1">
      <alignment horizontal="center"/>
    </xf>
    <xf numFmtId="176" fontId="289" fillId="16" borderId="334" xfId="0" applyNumberFormat="1" applyFont="1" applyFill="1" applyBorder="1" applyAlignment="1" applyProtection="1">
      <alignment horizontal="center"/>
    </xf>
    <xf numFmtId="0" fontId="288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4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8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9" fillId="32" borderId="0" xfId="0" applyNumberFormat="1" applyFont="1" applyFill="1" applyBorder="1" applyAlignment="1" applyProtection="1">
      <alignment horizontal="center"/>
    </xf>
    <xf numFmtId="168" fontId="300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1" fillId="32" borderId="0" xfId="0" applyNumberFormat="1" applyFont="1" applyFill="1" applyBorder="1" applyAlignment="1" applyProtection="1">
      <alignment horizontal="center"/>
    </xf>
    <xf numFmtId="171" fontId="302" fillId="17" borderId="254" xfId="0" applyNumberFormat="1" applyFont="1" applyFill="1" applyBorder="1" applyAlignment="1" applyProtection="1">
      <alignment horizontal="center"/>
    </xf>
    <xf numFmtId="171" fontId="302" fillId="17" borderId="83" xfId="0" applyNumberFormat="1" applyFont="1" applyFill="1" applyBorder="1" applyAlignment="1" applyProtection="1">
      <alignment horizontal="center"/>
    </xf>
    <xf numFmtId="171" fontId="302" fillId="17" borderId="82" xfId="0" applyNumberFormat="1" applyFont="1" applyFill="1" applyBorder="1" applyAlignment="1" applyProtection="1">
      <alignment horizontal="center"/>
    </xf>
    <xf numFmtId="171" fontId="303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4" fillId="43" borderId="0" xfId="0" applyFont="1" applyFill="1" applyProtection="1"/>
    <xf numFmtId="0" fontId="305" fillId="43" borderId="0" xfId="0" applyFont="1" applyFill="1" applyProtection="1"/>
    <xf numFmtId="168" fontId="272" fillId="16" borderId="255" xfId="0" applyNumberFormat="1" applyFont="1" applyFill="1" applyBorder="1" applyProtection="1"/>
    <xf numFmtId="168" fontId="275" fillId="16" borderId="255" xfId="0" applyNumberFormat="1" applyFont="1" applyFill="1" applyBorder="1" applyProtection="1"/>
    <xf numFmtId="0" fontId="306" fillId="16" borderId="196" xfId="0" applyFont="1" applyFill="1" applyBorder="1" applyAlignment="1" applyProtection="1">
      <alignment horizontal="center" vertical="center"/>
    </xf>
    <xf numFmtId="0" fontId="307" fillId="16" borderId="0" xfId="0" applyFont="1" applyFill="1" applyAlignment="1" applyProtection="1">
      <alignment horizontal="center"/>
    </xf>
    <xf numFmtId="0" fontId="308" fillId="16" borderId="0" xfId="0" applyFont="1" applyFill="1" applyAlignment="1" applyProtection="1">
      <alignment horizontal="center"/>
    </xf>
    <xf numFmtId="0" fontId="306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0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1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2" fillId="2" borderId="0" xfId="0" applyNumberFormat="1" applyFont="1" applyFill="1" applyAlignment="1" applyProtection="1">
      <alignment horizontal="right"/>
    </xf>
    <xf numFmtId="4" fontId="312" fillId="2" borderId="0" xfId="0" applyNumberFormat="1" applyFont="1" applyFill="1" applyAlignment="1" applyProtection="1">
      <alignment horizontal="left"/>
    </xf>
    <xf numFmtId="4" fontId="311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5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3" fillId="16" borderId="268" xfId="0" applyFont="1" applyFill="1" applyBorder="1" applyAlignment="1" applyProtection="1">
      <alignment horizontal="center"/>
    </xf>
    <xf numFmtId="0" fontId="275" fillId="16" borderId="85" xfId="0" applyFont="1" applyFill="1" applyBorder="1" applyAlignment="1" applyProtection="1">
      <alignment horizontal="center" vertical="center"/>
    </xf>
    <xf numFmtId="180" fontId="314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5" fillId="5" borderId="183" xfId="8" applyFont="1" applyFill="1" applyBorder="1" applyAlignment="1" applyProtection="1">
      <alignment horizontal="left" vertical="center"/>
    </xf>
    <xf numFmtId="0" fontId="316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4" fillId="33" borderId="245" xfId="0" applyNumberFormat="1" applyFont="1" applyFill="1" applyBorder="1" applyAlignment="1" applyProtection="1">
      <alignment horizontal="left"/>
    </xf>
    <xf numFmtId="4" fontId="280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171" fontId="275" fillId="33" borderId="196" xfId="0" applyNumberFormat="1" applyFont="1" applyFill="1" applyBorder="1" applyAlignment="1" applyProtection="1">
      <alignment horizontal="center"/>
    </xf>
    <xf numFmtId="168" fontId="275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7" fillId="42" borderId="338" xfId="0" applyFont="1" applyFill="1" applyBorder="1" applyProtection="1"/>
    <xf numFmtId="0" fontId="318" fillId="42" borderId="339" xfId="0" applyFont="1" applyFill="1" applyBorder="1" applyProtection="1"/>
    <xf numFmtId="0" fontId="317" fillId="42" borderId="340" xfId="0" applyFont="1" applyFill="1" applyBorder="1" applyProtection="1"/>
    <xf numFmtId="0" fontId="318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8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7" fillId="42" borderId="338" xfId="0" applyFont="1" applyFill="1" applyBorder="1" applyAlignment="1" applyProtection="1">
      <alignment horizontal="left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44" xfId="0" applyFont="1" applyFill="1" applyBorder="1" applyAlignment="1" applyProtection="1">
      <alignment horizontal="center" vertical="top"/>
    </xf>
    <xf numFmtId="0" fontId="319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7" fillId="50" borderId="0" xfId="0" applyFont="1" applyFill="1" applyBorder="1" applyProtection="1"/>
    <xf numFmtId="0" fontId="318" fillId="50" borderId="0" xfId="0" applyFont="1" applyFill="1" applyBorder="1" applyProtection="1"/>
    <xf numFmtId="0" fontId="319" fillId="50" borderId="341" xfId="0" applyFont="1" applyFill="1" applyBorder="1" applyProtection="1"/>
    <xf numFmtId="0" fontId="175" fillId="42" borderId="342" xfId="0" applyFont="1" applyFill="1" applyBorder="1" applyProtection="1"/>
    <xf numFmtId="0" fontId="317" fillId="42" borderId="345" xfId="0" applyFont="1" applyFill="1" applyBorder="1" applyProtection="1"/>
    <xf numFmtId="0" fontId="318" fillId="42" borderId="345" xfId="0" applyFont="1" applyFill="1" applyBorder="1" applyProtection="1"/>
    <xf numFmtId="0" fontId="319" fillId="42" borderId="343" xfId="0" applyFont="1" applyFill="1" applyBorder="1" applyProtection="1"/>
    <xf numFmtId="0" fontId="175" fillId="42" borderId="346" xfId="0" applyFont="1" applyFill="1" applyBorder="1" applyProtection="1"/>
    <xf numFmtId="0" fontId="317" fillId="42" borderId="347" xfId="0" applyFont="1" applyFill="1" applyBorder="1" applyProtection="1"/>
    <xf numFmtId="0" fontId="318" fillId="42" borderId="347" xfId="0" applyFont="1" applyFill="1" applyBorder="1" applyProtection="1"/>
    <xf numFmtId="0" fontId="319" fillId="42" borderId="348" xfId="0" applyFont="1" applyFill="1" applyBorder="1" applyProtection="1"/>
    <xf numFmtId="0" fontId="317" fillId="42" borderId="349" xfId="0" applyFont="1" applyFill="1" applyBorder="1" applyProtection="1"/>
    <xf numFmtId="0" fontId="317" fillId="42" borderId="0" xfId="0" applyFont="1" applyFill="1" applyBorder="1" applyProtection="1"/>
    <xf numFmtId="0" fontId="319" fillId="42" borderId="350" xfId="0" applyFont="1" applyFill="1" applyBorder="1" applyProtection="1"/>
    <xf numFmtId="0" fontId="175" fillId="50" borderId="338" xfId="0" applyFont="1" applyFill="1" applyBorder="1" applyProtection="1"/>
    <xf numFmtId="0" fontId="317" fillId="50" borderId="344" xfId="0" applyFont="1" applyFill="1" applyBorder="1" applyProtection="1"/>
    <xf numFmtId="0" fontId="318" fillId="50" borderId="344" xfId="0" applyFont="1" applyFill="1" applyBorder="1" applyProtection="1"/>
    <xf numFmtId="0" fontId="319" fillId="50" borderId="339" xfId="0" applyFont="1" applyFill="1" applyBorder="1" applyProtection="1"/>
    <xf numFmtId="0" fontId="317" fillId="50" borderId="340" xfId="0" applyFont="1" applyFill="1" applyBorder="1" applyProtection="1"/>
    <xf numFmtId="0" fontId="317" fillId="50" borderId="342" xfId="0" applyFont="1" applyFill="1" applyBorder="1" applyProtection="1"/>
    <xf numFmtId="0" fontId="317" fillId="50" borderId="345" xfId="0" applyFont="1" applyFill="1" applyBorder="1" applyProtection="1"/>
    <xf numFmtId="0" fontId="319" fillId="50" borderId="343" xfId="0" applyFont="1" applyFill="1" applyBorder="1" applyProtection="1"/>
    <xf numFmtId="0" fontId="317" fillId="42" borderId="146" xfId="0" applyFont="1" applyFill="1" applyBorder="1" applyAlignment="1" applyProtection="1">
      <alignment vertical="center"/>
    </xf>
    <xf numFmtId="170" fontId="286" fillId="42" borderId="231" xfId="0" applyNumberFormat="1" applyFont="1" applyFill="1" applyBorder="1" applyAlignment="1" applyProtection="1">
      <alignment horizontal="center"/>
    </xf>
    <xf numFmtId="0" fontId="318" fillId="42" borderId="87" xfId="0" applyFont="1" applyFill="1" applyBorder="1" applyAlignment="1" applyProtection="1">
      <alignment vertical="center"/>
    </xf>
    <xf numFmtId="0" fontId="317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5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7" fillId="17" borderId="8" xfId="0" applyNumberFormat="1" applyFont="1" applyFill="1" applyBorder="1" applyAlignment="1" applyProtection="1">
      <alignment horizontal="center"/>
    </xf>
    <xf numFmtId="171" fontId="302" fillId="17" borderId="10" xfId="0" applyNumberFormat="1" applyFont="1" applyFill="1" applyBorder="1" applyAlignment="1" applyProtection="1">
      <alignment horizontal="center"/>
    </xf>
    <xf numFmtId="171" fontId="297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5" fillId="33" borderId="287" xfId="0" applyNumberFormat="1" applyFont="1" applyFill="1" applyBorder="1" applyProtection="1"/>
    <xf numFmtId="168" fontId="275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20" fillId="17" borderId="83" xfId="0" applyFont="1" applyFill="1" applyBorder="1" applyProtection="1"/>
    <xf numFmtId="0" fontId="321" fillId="5" borderId="82" xfId="0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171" fontId="323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6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4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5" fillId="17" borderId="171" xfId="8" applyNumberFormat="1" applyFont="1" applyFill="1" applyBorder="1" applyAlignment="1" applyProtection="1">
      <alignment horizontal="left"/>
    </xf>
    <xf numFmtId="185" fontId="326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6" fillId="17" borderId="171" xfId="8" applyNumberFormat="1" applyFont="1" applyFill="1" applyBorder="1" applyAlignment="1" applyProtection="1">
      <alignment horizontal="left"/>
    </xf>
    <xf numFmtId="184" fontId="296" fillId="17" borderId="175" xfId="8" applyNumberFormat="1" applyFont="1" applyFill="1" applyBorder="1" applyAlignment="1" applyProtection="1">
      <alignment horizontal="center"/>
    </xf>
    <xf numFmtId="184" fontId="296" fillId="17" borderId="171" xfId="8" applyNumberFormat="1" applyFont="1" applyFill="1" applyBorder="1" applyAlignment="1" applyProtection="1">
      <alignment horizontal="left"/>
    </xf>
    <xf numFmtId="186" fontId="326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6" fillId="42" borderId="343" xfId="0" applyNumberFormat="1" applyFont="1" applyFill="1" applyBorder="1" applyAlignment="1" applyProtection="1">
      <alignment horizontal="left" vertical="center"/>
    </xf>
    <xf numFmtId="0" fontId="317" fillId="42" borderId="0" xfId="0" applyFont="1" applyFill="1" applyBorder="1" applyAlignment="1" applyProtection="1">
      <alignment horizontal="center"/>
    </xf>
    <xf numFmtId="0" fontId="317" fillId="42" borderId="350" xfId="0" applyFont="1" applyFill="1" applyBorder="1" applyProtection="1"/>
    <xf numFmtId="38" fontId="327" fillId="21" borderId="162" xfId="9" applyNumberFormat="1" applyFont="1" applyFill="1" applyBorder="1" applyAlignment="1" applyProtection="1">
      <alignment horizontal="center" vertical="center"/>
    </xf>
    <xf numFmtId="38" fontId="328" fillId="45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38" fontId="330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1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2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6" fillId="17" borderId="171" xfId="8" quotePrefix="1" applyNumberFormat="1" applyFont="1" applyFill="1" applyBorder="1" applyAlignment="1" applyProtection="1">
      <alignment horizontal="left"/>
    </xf>
    <xf numFmtId="184" fontId="296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3" fillId="21" borderId="342" xfId="0" applyFont="1" applyFill="1" applyBorder="1" applyProtection="1"/>
    <xf numFmtId="0" fontId="333" fillId="21" borderId="345" xfId="0" applyFont="1" applyFill="1" applyBorder="1" applyProtection="1"/>
    <xf numFmtId="0" fontId="306" fillId="21" borderId="345" xfId="0" applyFont="1" applyFill="1" applyBorder="1" applyProtection="1"/>
    <xf numFmtId="0" fontId="334" fillId="21" borderId="343" xfId="0" applyFont="1" applyFill="1" applyBorder="1" applyProtection="1"/>
    <xf numFmtId="0" fontId="335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2" fillId="32" borderId="0" xfId="0" applyFont="1" applyFill="1" applyProtection="1"/>
    <xf numFmtId="168" fontId="312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6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6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4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4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4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6" fillId="32" borderId="0" xfId="0" applyFont="1" applyFill="1" applyAlignment="1" applyProtection="1">
      <alignment horizontal="left"/>
    </xf>
    <xf numFmtId="0" fontId="336" fillId="32" borderId="0" xfId="0" applyFont="1" applyFill="1" applyAlignment="1" applyProtection="1">
      <alignment horizontal="right"/>
    </xf>
    <xf numFmtId="0" fontId="336" fillId="2" borderId="0" xfId="0" applyFont="1" applyFill="1" applyProtection="1"/>
    <xf numFmtId="0" fontId="336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7" fillId="38" borderId="0" xfId="0" applyFont="1" applyFill="1" applyAlignment="1" applyProtection="1">
      <alignment horizontal="right"/>
    </xf>
    <xf numFmtId="0" fontId="338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9" fillId="42" borderId="0" xfId="0" applyNumberFormat="1" applyFont="1" applyFill="1" applyBorder="1" applyAlignment="1" applyProtection="1">
      <alignment horizontal="center"/>
    </xf>
    <xf numFmtId="192" fontId="340" fillId="17" borderId="0" xfId="0" quotePrefix="1" applyNumberFormat="1" applyFont="1" applyFill="1" applyBorder="1" applyAlignment="1" applyProtection="1">
      <alignment horizontal="left"/>
    </xf>
    <xf numFmtId="192" fontId="340" fillId="17" borderId="0" xfId="0" applyNumberFormat="1" applyFont="1" applyFill="1" applyBorder="1" applyAlignment="1" applyProtection="1">
      <alignment horizontal="left"/>
    </xf>
    <xf numFmtId="193" fontId="339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7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3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1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1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1" fillId="34" borderId="146" xfId="0" quotePrefix="1" applyNumberFormat="1" applyFont="1" applyFill="1" applyBorder="1" applyAlignment="1" applyProtection="1"/>
    <xf numFmtId="228" fontId="342" fillId="17" borderId="198" xfId="0" applyNumberFormat="1" applyFont="1" applyFill="1" applyBorder="1" applyAlignment="1" applyProtection="1">
      <alignment horizontal="left"/>
    </xf>
    <xf numFmtId="171" fontId="302" fillId="17" borderId="0" xfId="0" applyNumberFormat="1" applyFont="1" applyFill="1" applyBorder="1" applyAlignment="1" applyProtection="1">
      <alignment horizontal="center"/>
    </xf>
    <xf numFmtId="171" fontId="297" fillId="17" borderId="10" xfId="0" applyNumberFormat="1" applyFont="1" applyFill="1" applyBorder="1" applyAlignment="1" applyProtection="1">
      <alignment horizontal="center"/>
    </xf>
    <xf numFmtId="171" fontId="302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3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1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4" fillId="21" borderId="146" xfId="0" applyNumberFormat="1" applyFont="1" applyFill="1" applyBorder="1" applyAlignment="1" applyProtection="1">
      <alignment horizontal="center"/>
    </xf>
    <xf numFmtId="184" fontId="339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1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2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1" fillId="34" borderId="197" xfId="0" applyNumberFormat="1" applyFont="1" applyFill="1" applyBorder="1" applyAlignment="1" applyProtection="1">
      <alignment horizontal="right"/>
    </xf>
    <xf numFmtId="232" fontId="341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8" fillId="34" borderId="146" xfId="0" applyNumberFormat="1" applyFont="1" applyFill="1" applyBorder="1" applyAlignment="1" applyProtection="1"/>
    <xf numFmtId="0" fontId="277" fillId="34" borderId="198" xfId="0" applyFont="1" applyFill="1" applyBorder="1" applyAlignment="1" applyProtection="1">
      <alignment horizontal="left"/>
    </xf>
    <xf numFmtId="0" fontId="333" fillId="16" borderId="146" xfId="0" applyFont="1" applyFill="1" applyBorder="1" applyAlignment="1" applyProtection="1">
      <alignment vertical="center"/>
    </xf>
    <xf numFmtId="0" fontId="333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7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5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3" fontId="127" fillId="17" borderId="0" xfId="2" applyNumberFormat="1" applyFont="1" applyFill="1" applyBorder="1" applyAlignment="1">
      <alignment horizontal="center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204" fontId="127" fillId="5" borderId="0" xfId="2" applyNumberFormat="1" applyFont="1" applyFill="1" applyBorder="1" applyAlignment="1">
      <alignment horizontal="center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0" fontId="312" fillId="32" borderId="0" xfId="0" applyFont="1" applyFill="1" applyAlignment="1" applyProtection="1">
      <alignment horizontal="center"/>
    </xf>
    <xf numFmtId="0" fontId="346" fillId="32" borderId="0" xfId="0" applyFont="1" applyFill="1" applyAlignment="1" applyProtection="1">
      <alignment horizontal="right"/>
    </xf>
    <xf numFmtId="0" fontId="312" fillId="32" borderId="0" xfId="0" applyFont="1" applyFill="1" applyAlignment="1" applyProtection="1">
      <alignment horizontal="righ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348" fillId="17" borderId="146" xfId="0" applyFont="1" applyFill="1" applyBorder="1" applyAlignment="1" applyProtection="1">
      <alignment horizontal="left"/>
    </xf>
    <xf numFmtId="0" fontId="34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6" fillId="32" borderId="0" xfId="0" applyFont="1" applyFill="1" applyAlignment="1" applyProtection="1">
      <alignment horizontal="left"/>
    </xf>
    <xf numFmtId="0" fontId="349" fillId="32" borderId="0" xfId="0" applyFont="1" applyFill="1" applyBorder="1" applyAlignment="1" applyProtection="1">
      <alignment horizontal="left" vertical="top" wrapText="1"/>
    </xf>
    <xf numFmtId="0" fontId="349" fillId="32" borderId="173" xfId="0" applyFont="1" applyFill="1" applyBorder="1" applyAlignment="1" applyProtection="1">
      <alignment horizontal="left" vertical="top" wrapText="1"/>
    </xf>
    <xf numFmtId="0" fontId="349" fillId="32" borderId="0" xfId="0" applyFont="1" applyFill="1" applyAlignment="1" applyProtection="1">
      <alignment horizontal="center" vertical="top" wrapText="1"/>
    </xf>
    <xf numFmtId="0" fontId="349" fillId="32" borderId="173" xfId="0" applyFont="1" applyFill="1" applyBorder="1" applyAlignment="1" applyProtection="1">
      <alignment horizontal="center" vertical="top" wrapText="1"/>
    </xf>
    <xf numFmtId="0" fontId="346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350" fillId="32" borderId="0" xfId="0" applyFont="1" applyFill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1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0" fontId="352" fillId="6" borderId="170" xfId="0" applyFont="1" applyFill="1" applyBorder="1" applyAlignment="1" applyProtection="1">
      <alignment horizontal="center"/>
    </xf>
    <xf numFmtId="0" fontId="352" fillId="6" borderId="248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353" fillId="5" borderId="197" xfId="1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8" fillId="23" borderId="197" xfId="1" applyNumberFormat="1" applyFont="1" applyFill="1" applyBorder="1" applyAlignment="1" applyProtection="1">
      <alignment horizontal="center" vertical="center"/>
      <protection locked="0"/>
    </xf>
    <xf numFmtId="1" fontId="298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4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38" fontId="323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4" fillId="37" borderId="0" xfId="0" applyFont="1" applyFill="1" applyAlignment="1" applyProtection="1">
      <alignment horizontal="right" vertical="center" wrapText="1"/>
    </xf>
    <xf numFmtId="1" fontId="298" fillId="23" borderId="197" xfId="1" applyNumberFormat="1" applyFont="1" applyFill="1" applyBorder="1" applyAlignment="1" applyProtection="1">
      <alignment horizontal="center" vertical="center"/>
    </xf>
    <xf numFmtId="1" fontId="298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55" fillId="16" borderId="197" xfId="8" applyFont="1" applyFill="1" applyBorder="1" applyAlignment="1" applyProtection="1">
      <alignment horizontal="center"/>
      <protection locked="0"/>
    </xf>
    <xf numFmtId="0" fontId="355" fillId="16" borderId="198" xfId="8" applyFont="1" applyFill="1" applyBorder="1" applyAlignment="1" applyProtection="1">
      <alignment horizontal="center"/>
      <protection locked="0"/>
    </xf>
    <xf numFmtId="0" fontId="356" fillId="16" borderId="197" xfId="8" applyFont="1" applyFill="1" applyBorder="1" applyAlignment="1" applyProtection="1">
      <alignment horizontal="center"/>
      <protection locked="0"/>
    </xf>
    <xf numFmtId="0" fontId="356" fillId="16" borderId="146" xfId="8" applyFont="1" applyFill="1" applyBorder="1" applyAlignment="1" applyProtection="1">
      <alignment horizontal="center"/>
      <protection locked="0"/>
    </xf>
    <xf numFmtId="0" fontId="356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46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9" fillId="50" borderId="344" xfId="0" quotePrefix="1" applyNumberFormat="1" applyFont="1" applyFill="1" applyBorder="1" applyAlignment="1" applyProtection="1">
      <alignment horizontal="left"/>
    </xf>
    <xf numFmtId="186" fontId="339" fillId="50" borderId="344" xfId="0" applyNumberFormat="1" applyFont="1" applyFill="1" applyBorder="1" applyAlignment="1" applyProtection="1">
      <alignment horizontal="left"/>
    </xf>
    <xf numFmtId="190" fontId="358" fillId="17" borderId="172" xfId="0" quotePrefix="1" applyNumberFormat="1" applyFont="1" applyFill="1" applyBorder="1" applyAlignment="1" applyProtection="1">
      <alignment horizontal="left"/>
    </xf>
    <xf numFmtId="190" fontId="358" fillId="17" borderId="0" xfId="0" applyNumberFormat="1" applyFont="1" applyFill="1" applyBorder="1" applyAlignment="1" applyProtection="1">
      <alignment horizontal="left"/>
    </xf>
    <xf numFmtId="191" fontId="358" fillId="17" borderId="0" xfId="0" quotePrefix="1" applyNumberFormat="1" applyFont="1" applyFill="1" applyBorder="1" applyAlignment="1" applyProtection="1">
      <alignment horizontal="center"/>
    </xf>
    <xf numFmtId="191" fontId="358" fillId="17" borderId="0" xfId="0" applyNumberFormat="1" applyFont="1" applyFill="1" applyBorder="1" applyAlignment="1" applyProtection="1">
      <alignment horizontal="center"/>
    </xf>
    <xf numFmtId="188" fontId="359" fillId="42" borderId="0" xfId="0" applyNumberFormat="1" applyFont="1" applyFill="1" applyBorder="1" applyAlignment="1" applyProtection="1">
      <alignment horizontal="center"/>
    </xf>
    <xf numFmtId="189" fontId="339" fillId="42" borderId="0" xfId="0" quotePrefix="1" applyNumberFormat="1" applyFont="1" applyFill="1" applyBorder="1" applyAlignment="1" applyProtection="1">
      <alignment horizontal="left"/>
    </xf>
    <xf numFmtId="189" fontId="339" fillId="42" borderId="0" xfId="0" applyNumberFormat="1" applyFont="1" applyFill="1" applyBorder="1" applyAlignment="1" applyProtection="1">
      <alignment horizontal="left"/>
    </xf>
    <xf numFmtId="189" fontId="339" fillId="42" borderId="350" xfId="0" applyNumberFormat="1" applyFont="1" applyFill="1" applyBorder="1" applyAlignment="1" applyProtection="1">
      <alignment horizontal="left"/>
    </xf>
    <xf numFmtId="0" fontId="193" fillId="16" borderId="146" xfId="0" applyFont="1" applyFill="1" applyBorder="1" applyAlignment="1" applyProtection="1">
      <alignment horizontal="center"/>
    </xf>
    <xf numFmtId="227" fontId="277" fillId="34" borderId="197" xfId="0" applyNumberFormat="1" applyFont="1" applyFill="1" applyBorder="1" applyAlignment="1" applyProtection="1">
      <alignment horizontal="center"/>
    </xf>
    <xf numFmtId="227" fontId="277" fillId="34" borderId="146" xfId="0" applyNumberFormat="1" applyFont="1" applyFill="1" applyBorder="1" applyAlignment="1" applyProtection="1">
      <alignment horizontal="center"/>
    </xf>
    <xf numFmtId="193" fontId="339" fillId="42" borderId="0" xfId="0" applyNumberFormat="1" applyFont="1" applyFill="1" applyBorder="1" applyAlignment="1" applyProtection="1">
      <alignment horizontal="center"/>
    </xf>
    <xf numFmtId="184" fontId="343" fillId="16" borderId="0" xfId="0" applyNumberFormat="1" applyFont="1" applyFill="1" applyBorder="1" applyAlignment="1" applyProtection="1">
      <alignment horizontal="center"/>
    </xf>
    <xf numFmtId="0" fontId="341" fillId="17" borderId="169" xfId="0" applyFont="1" applyFill="1" applyBorder="1" applyAlignment="1" applyProtection="1">
      <alignment horizontal="center" vertical="center"/>
    </xf>
    <xf numFmtId="0" fontId="341" fillId="17" borderId="171" xfId="0" applyFont="1" applyFill="1" applyBorder="1" applyAlignment="1" applyProtection="1">
      <alignment horizontal="center" vertical="center"/>
    </xf>
    <xf numFmtId="228" fontId="342" fillId="17" borderId="174" xfId="0" applyNumberFormat="1" applyFont="1" applyFill="1" applyBorder="1" applyAlignment="1" applyProtection="1">
      <alignment horizontal="center"/>
    </xf>
    <xf numFmtId="228" fontId="342" fillId="17" borderId="175" xfId="0" applyNumberFormat="1" applyFont="1" applyFill="1" applyBorder="1" applyAlignment="1" applyProtection="1">
      <alignment horizontal="center"/>
    </xf>
    <xf numFmtId="176" fontId="289" fillId="34" borderId="194" xfId="0" applyNumberFormat="1" applyFont="1" applyFill="1" applyBorder="1" applyAlignment="1" applyProtection="1">
      <alignment horizontal="center"/>
    </xf>
    <xf numFmtId="176" fontId="289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6" fillId="5" borderId="174" xfId="8" applyFont="1" applyFill="1" applyBorder="1" applyAlignment="1" applyProtection="1">
      <alignment horizontal="center" vertical="center" wrapText="1"/>
    </xf>
    <xf numFmtId="0" fontId="356" fillId="5" borderId="11" xfId="8" applyFont="1" applyFill="1" applyBorder="1" applyAlignment="1" applyProtection="1">
      <alignment horizontal="center" vertical="center" wrapText="1"/>
    </xf>
    <xf numFmtId="0" fontId="356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60" fillId="5" borderId="197" xfId="8" applyFont="1" applyFill="1" applyBorder="1" applyAlignment="1" applyProtection="1">
      <alignment horizontal="center" vertical="center"/>
    </xf>
    <xf numFmtId="0" fontId="360" fillId="5" borderId="146" xfId="8" applyFont="1" applyFill="1" applyBorder="1" applyAlignment="1" applyProtection="1">
      <alignment horizontal="center" vertical="center"/>
    </xf>
    <xf numFmtId="0" fontId="360" fillId="5" borderId="198" xfId="8" applyFont="1" applyFill="1" applyBorder="1" applyAlignment="1" applyProtection="1">
      <alignment horizontal="center" vertical="center"/>
    </xf>
    <xf numFmtId="0" fontId="360" fillId="13" borderId="197" xfId="8" applyFont="1" applyFill="1" applyBorder="1" applyAlignment="1" applyProtection="1">
      <alignment horizontal="center" vertical="center"/>
    </xf>
    <xf numFmtId="0" fontId="360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61" fillId="16" borderId="331" xfId="9" applyNumberFormat="1" applyFont="1" applyFill="1" applyBorder="1" applyAlignment="1" applyProtection="1">
      <alignment horizontal="center"/>
    </xf>
    <xf numFmtId="38" fontId="361" fillId="8" borderId="331" xfId="9" applyNumberFormat="1" applyFont="1" applyFill="1" applyBorder="1" applyAlignment="1" applyProtection="1">
      <alignment horizontal="center"/>
    </xf>
    <xf numFmtId="38" fontId="361" fillId="8" borderId="81" xfId="9" applyNumberFormat="1" applyFont="1" applyFill="1" applyBorder="1" applyAlignment="1" applyProtection="1">
      <alignment horizontal="center"/>
    </xf>
    <xf numFmtId="0" fontId="362" fillId="1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63" fillId="17" borderId="331" xfId="9" applyNumberFormat="1" applyFont="1" applyFill="1" applyBorder="1" applyAlignment="1" applyProtection="1">
      <alignment horizontal="center"/>
    </xf>
    <xf numFmtId="38" fontId="363" fillId="17" borderId="81" xfId="9" applyNumberFormat="1" applyFont="1" applyFill="1" applyBorder="1" applyAlignment="1" applyProtection="1">
      <alignment horizontal="center"/>
    </xf>
    <xf numFmtId="0" fontId="364" fillId="30" borderId="0" xfId="8" applyFont="1" applyFill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0" fontId="365" fillId="28" borderId="0" xfId="8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66" fillId="2" borderId="0" xfId="8" applyFont="1" applyFill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56" fillId="29" borderId="59" xfId="9" applyNumberFormat="1" applyFont="1" applyFill="1" applyBorder="1" applyAlignment="1" applyProtection="1">
      <alignment horizontal="center"/>
    </xf>
    <xf numFmtId="166" fontId="355" fillId="29" borderId="0" xfId="9" applyNumberFormat="1" applyFont="1" applyFill="1" applyAlignment="1" applyProtection="1">
      <alignment horizontal="center"/>
    </xf>
    <xf numFmtId="0" fontId="291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2" fillId="39" borderId="48" xfId="8" applyFont="1" applyFill="1" applyBorder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2" fillId="31" borderId="48" xfId="8" applyFont="1" applyFill="1" applyBorder="1" applyAlignment="1" applyProtection="1">
      <alignment horizontal="center"/>
    </xf>
    <xf numFmtId="0" fontId="367" fillId="32" borderId="0" xfId="5" applyFont="1" applyFill="1" applyBorder="1" applyAlignment="1" applyProtection="1">
      <alignment horizontal="left"/>
    </xf>
    <xf numFmtId="0" fontId="368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8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8" fillId="11" borderId="152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9" fillId="11" borderId="170" xfId="0" applyFont="1" applyFill="1" applyBorder="1" applyAlignment="1" applyProtection="1">
      <alignment horizontal="center"/>
    </xf>
    <xf numFmtId="0" fontId="369" fillId="11" borderId="248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371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</cellXfs>
  <cellStyles count="12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  <cellStyle name="Хипервръзка" xfId="11" builtinId="8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4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/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50" customWidth="1"/>
    <col min="2" max="2" width="5.28515625" style="2274" customWidth="1"/>
    <col min="3" max="3" width="3.7109375" style="2274" customWidth="1"/>
    <col min="4" max="4" width="10.28515625" style="2274" customWidth="1"/>
    <col min="5" max="5" width="9.42578125" style="2274" customWidth="1"/>
    <col min="6" max="6" width="6" style="2274" customWidth="1"/>
    <col min="7" max="7" width="5.85546875" style="2274" customWidth="1"/>
    <col min="8" max="8" width="13.140625" style="2274" customWidth="1"/>
    <col min="9" max="9" width="11.140625" style="2274" customWidth="1"/>
    <col min="10" max="10" width="8" style="2274" customWidth="1"/>
    <col min="11" max="11" width="22.7109375" style="2274" customWidth="1"/>
    <col min="12" max="12" width="17.42578125" style="2274" customWidth="1"/>
    <col min="13" max="13" width="7.28515625" style="2274" customWidth="1"/>
    <col min="14" max="16384" width="9.14062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5" thickBot="1">
      <c r="A2" s="2248"/>
      <c r="B2" s="2332" t="s">
        <v>2149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33">
        <f>+'TRIAL-BALANCE'!E8</f>
        <v>2021</v>
      </c>
      <c r="M2" s="233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1382</v>
      </c>
      <c r="C4" s="2258" t="s">
        <v>1383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1990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1384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1385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1386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1387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2199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1899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2200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1991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2201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2203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1388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1389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1390</v>
      </c>
      <c r="C19" s="2258" t="s">
        <v>1910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2202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1391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1392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1393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2114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1394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1395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2204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2205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1999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2001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2002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35">
        <f>+'TRIAL-BALANCE'!E8</f>
        <v>2021</v>
      </c>
      <c r="E32" s="2335"/>
      <c r="F32" s="2335"/>
      <c r="G32" s="2335"/>
      <c r="H32" s="2336">
        <f>+'TRIAL-BALANCE'!E8</f>
        <v>2021</v>
      </c>
      <c r="I32" s="2336"/>
      <c r="J32" s="233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2206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2207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2208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2209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2210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2211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2024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2212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2213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2025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2214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2215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2216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2217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2218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2219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2220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37">
        <f>+'TRIAL-BALANCE'!E8</f>
        <v>2021</v>
      </c>
      <c r="E50" s="2337"/>
      <c r="F50" s="2337"/>
      <c r="G50" s="2337"/>
      <c r="H50" s="2338">
        <f>+'TRIAL-BALANCE'!E8</f>
        <v>2021</v>
      </c>
      <c r="I50" s="2338"/>
      <c r="J50" s="2338"/>
      <c r="K50" s="2252" t="s">
        <v>2029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2221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2222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2037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2223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2224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37">
        <f>+'TRIAL-BALANCE'!E8</f>
        <v>2021</v>
      </c>
      <c r="E56" s="2337"/>
      <c r="F56" s="2337"/>
      <c r="G56" s="2337"/>
      <c r="H56" s="2339">
        <f>+'TRIAL-BALANCE'!E8</f>
        <v>2021</v>
      </c>
      <c r="I56" s="2339"/>
      <c r="J56" s="2339"/>
      <c r="K56" s="2267" t="s">
        <v>2046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40">
        <f>+'TRIAL-BALANCE'!E8</f>
        <v>2021</v>
      </c>
      <c r="E57" s="2340"/>
      <c r="F57" s="2322" t="s">
        <v>2038</v>
      </c>
      <c r="G57" s="2341">
        <f>+'TRIAL-BALANCE'!E8</f>
        <v>2021</v>
      </c>
      <c r="H57" s="2341"/>
      <c r="I57" s="2323" t="s">
        <v>2044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2045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1396</v>
      </c>
      <c r="C60" s="2258" t="s">
        <v>1909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1397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2115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2225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2226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2227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1928</v>
      </c>
      <c r="E66" s="2262"/>
      <c r="F66" s="2262"/>
      <c r="G66" s="2262"/>
      <c r="H66" s="2342">
        <f>+'TRIAL-BALANCE'!E8</f>
        <v>2021</v>
      </c>
      <c r="I66" s="2342"/>
      <c r="J66" s="2342"/>
      <c r="K66" s="2343">
        <f>+'TRIAL-BALANCE'!E8</f>
        <v>2021</v>
      </c>
      <c r="L66" s="234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44">
        <f>+'TRIAL-BALANCE'!E8</f>
        <v>2021</v>
      </c>
      <c r="E67" s="2344"/>
      <c r="F67" s="2344"/>
      <c r="G67" s="2345">
        <f>+'TRIAL-BALANCE'!E8</f>
        <v>2021</v>
      </c>
      <c r="H67" s="2345"/>
      <c r="I67" s="234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2026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2028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2027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2116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2228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2229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2230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2231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1398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2232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2233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2117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2234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2118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2235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1399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1400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2236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2030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2237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1401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2039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2238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2239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2240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2119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2120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2121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2241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2040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2242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2041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1402</v>
      </c>
      <c r="C101" s="2258" t="s">
        <v>1906</v>
      </c>
      <c r="D101" s="2252"/>
      <c r="E101" s="2252"/>
      <c r="F101" s="2346" t="s">
        <v>1943</v>
      </c>
      <c r="G101" s="2347"/>
      <c r="H101" s="234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1403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2122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1404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2123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1405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2124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2126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2125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1406</v>
      </c>
      <c r="C111" s="2258" t="s">
        <v>1908</v>
      </c>
      <c r="D111" s="2252"/>
      <c r="E111" s="2252"/>
      <c r="F111" s="2348">
        <f>+'TRIAL-BALANCE'!E8</f>
        <v>2021</v>
      </c>
      <c r="G111" s="2348"/>
      <c r="H111" s="234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1407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1408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2243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1409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2244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2127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2245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2246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2035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1410</v>
      </c>
      <c r="C122" s="2258" t="s">
        <v>1907</v>
      </c>
      <c r="D122" s="2252"/>
      <c r="E122" s="2252"/>
      <c r="F122" s="2349" t="s">
        <v>1959</v>
      </c>
      <c r="G122" s="2350"/>
      <c r="H122" s="2350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1411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1412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2128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1413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2247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1414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1415</v>
      </c>
      <c r="C130" s="2258" t="s">
        <v>1906</v>
      </c>
      <c r="D130" s="2252"/>
      <c r="E130" s="2252"/>
      <c r="F130" s="2351" t="s">
        <v>1957</v>
      </c>
      <c r="G130" s="2352"/>
      <c r="H130" s="2352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2248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2247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1416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1920</v>
      </c>
      <c r="E134" s="2252"/>
      <c r="F134" s="2252"/>
      <c r="G134" s="2252"/>
      <c r="H134" s="2353" t="s">
        <v>1962</v>
      </c>
      <c r="I134" s="2354"/>
      <c r="J134" s="2354"/>
      <c r="K134" s="2252" t="s">
        <v>1919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2111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2112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1417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1418</v>
      </c>
      <c r="C139" s="2258" t="s">
        <v>1906</v>
      </c>
      <c r="D139" s="2252"/>
      <c r="E139" s="2252"/>
      <c r="F139" s="2355">
        <f>+'R &amp; E data-2020'!I12</f>
        <v>2020</v>
      </c>
      <c r="G139" s="2355"/>
      <c r="H139" s="2355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2249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2250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2129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2251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6">
        <f>+'TRIAL-BALANCE'!E8</f>
        <v>2021</v>
      </c>
      <c r="E144" s="2356"/>
      <c r="F144" s="2356"/>
      <c r="G144" s="2356"/>
      <c r="H144" s="2252" t="s">
        <v>1917</v>
      </c>
      <c r="I144" s="2252"/>
      <c r="J144" s="2357">
        <f>+'TRIAL-BALANCE'!E8</f>
        <v>2021</v>
      </c>
      <c r="K144" s="2357"/>
      <c r="L144" s="2252" t="s">
        <v>1918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1419</v>
      </c>
      <c r="C146" s="2258" t="s">
        <v>1911</v>
      </c>
      <c r="D146" s="2252"/>
      <c r="E146" s="2252"/>
      <c r="F146" s="2358">
        <f>+'TRIAL-BALANCE'!E8</f>
        <v>2021</v>
      </c>
      <c r="G146" s="2358"/>
      <c r="H146" s="2358"/>
      <c r="I146" s="2358"/>
      <c r="J146" s="2258" t="s">
        <v>1900</v>
      </c>
      <c r="K146" s="2359">
        <f>+'TRIAL-BALANCE'!E8</f>
        <v>2021</v>
      </c>
      <c r="L146" s="2359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2113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2130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1902</v>
      </c>
      <c r="E149" s="2252"/>
      <c r="F149" s="2252"/>
      <c r="G149" s="2252"/>
      <c r="H149" s="2252"/>
      <c r="I149" s="2252"/>
      <c r="J149" s="2357">
        <f>+'TRIAL-BALANCE'!E8</f>
        <v>2021</v>
      </c>
      <c r="K149" s="2357"/>
      <c r="L149" s="2252" t="s">
        <v>1901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2252</v>
      </c>
      <c r="E150" s="2252"/>
      <c r="F150" s="2360">
        <f>+'TRIAL-BALANCE'!E8</f>
        <v>2021</v>
      </c>
      <c r="G150" s="2360"/>
      <c r="H150" s="2360"/>
      <c r="I150" s="2267" t="s">
        <v>1903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2253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2254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>
      <c r="A153" s="2248"/>
      <c r="B153" s="2251"/>
      <c r="C153" s="2252"/>
      <c r="D153" s="2272" t="s">
        <v>2255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2256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1421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2257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2258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45" customHeight="1">
      <c r="A158" s="2248"/>
      <c r="B158" s="2251"/>
      <c r="C158" s="2252"/>
      <c r="D158" s="2257" t="s">
        <v>2259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2260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1422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2261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2263</v>
      </c>
      <c r="E162" s="2361" t="s">
        <v>1959</v>
      </c>
      <c r="F162" s="2362"/>
      <c r="G162" s="2362"/>
      <c r="H162" s="2252" t="s">
        <v>1904</v>
      </c>
      <c r="I162" s="2252"/>
      <c r="J162" s="2252"/>
      <c r="K162" s="2326" t="s">
        <v>2264</v>
      </c>
      <c r="L162" s="2252" t="s">
        <v>1930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1929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1423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1424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2262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3">
        <f>+'TRIAL-BALANCE'!E8</f>
        <v>2021</v>
      </c>
      <c r="E167" s="2363"/>
      <c r="F167" s="2363"/>
      <c r="G167" s="2267" t="s">
        <v>2265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2000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2266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1425</v>
      </c>
      <c r="C171" s="2258" t="s">
        <v>1905</v>
      </c>
      <c r="D171" s="2252"/>
      <c r="E171" s="2252"/>
      <c r="F171" s="2364">
        <f>+'TRIAL-BALANCE'!E8</f>
        <v>2021</v>
      </c>
      <c r="G171" s="2364"/>
      <c r="H171" s="2364"/>
      <c r="I171" s="2365">
        <f>+'TRIAL-BALANCE'!E8</f>
        <v>2021</v>
      </c>
      <c r="J171" s="2365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1426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1420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1913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1931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1932</v>
      </c>
      <c r="F175" s="2341">
        <f>+'TRIAL-BALANCE'!E8</f>
        <v>2021</v>
      </c>
      <c r="G175" s="2341"/>
      <c r="H175" s="2341"/>
      <c r="I175" s="2252" t="s">
        <v>1912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2267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2268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2269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2270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1914</v>
      </c>
      <c r="E180" s="2366">
        <f>+'R &amp; E data-2020'!I12</f>
        <v>2020</v>
      </c>
      <c r="F180" s="2366"/>
      <c r="G180" s="2366"/>
      <c r="H180" s="2366"/>
      <c r="I180" s="2252" t="s">
        <v>1915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2271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1427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2272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2273</v>
      </c>
      <c r="E184" s="2257"/>
      <c r="F184" s="2257"/>
      <c r="G184" s="2257"/>
      <c r="H184" s="2257"/>
      <c r="I184" s="2257"/>
      <c r="J184" s="2257"/>
      <c r="K184" s="2329" t="s">
        <v>1957</v>
      </c>
      <c r="L184" s="2257" t="s">
        <v>1933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2274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1428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2275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67">
        <f>+'TRIAL-BALANCE'!E8</f>
        <v>2021</v>
      </c>
      <c r="E188" s="2367"/>
      <c r="F188" s="2273" t="s">
        <v>1916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2000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2266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1429</v>
      </c>
      <c r="C192" s="2258" t="s">
        <v>1906</v>
      </c>
      <c r="D192" s="2252"/>
      <c r="E192" s="2252"/>
      <c r="F192" s="2368" t="s">
        <v>2003</v>
      </c>
      <c r="G192" s="2369"/>
      <c r="H192" s="236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2005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2004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2276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2006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2277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2278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2279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2280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2008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2281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2282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2283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2284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2285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2146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2286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2088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2287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2007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2010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2009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2288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2289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2014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2290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2291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2013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2011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2292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2012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1430</v>
      </c>
      <c r="C224" s="2258" t="s">
        <v>1905</v>
      </c>
      <c r="D224" s="2252"/>
      <c r="E224" s="2252"/>
      <c r="F224" s="2370">
        <f>+'TRIAL-BALANCE'!E8</f>
        <v>2021</v>
      </c>
      <c r="G224" s="2370"/>
      <c r="H224" s="2370"/>
      <c r="I224" s="2370"/>
      <c r="J224" s="2371">
        <f>+'TRIAL-BALANCE'!E8</f>
        <v>2021</v>
      </c>
      <c r="K224" s="237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72">
        <f>+'TRIAL-BALANCE'!E8</f>
        <v>2021</v>
      </c>
      <c r="D225" s="2372"/>
      <c r="E225" s="2372"/>
      <c r="F225" s="2372"/>
      <c r="G225" s="2373">
        <f>+'TRIAL-BALANCE'!E8</f>
        <v>2021</v>
      </c>
      <c r="H225" s="2373"/>
      <c r="I225" s="237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2293</v>
      </c>
      <c r="E226" s="2374">
        <f>+'TRIAL-BALANCE'!E8</f>
        <v>2021</v>
      </c>
      <c r="F226" s="2374"/>
      <c r="G226" s="2374"/>
      <c r="H226" s="2374"/>
      <c r="I226" s="2252" t="s">
        <v>1921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1997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2294</v>
      </c>
      <c r="E228" s="2252"/>
      <c r="F228" s="2252"/>
      <c r="G228" s="2252"/>
      <c r="H228" s="2252"/>
      <c r="I228" s="2252"/>
      <c r="J228" s="2252"/>
      <c r="K228" s="2252"/>
      <c r="L228" s="2375">
        <f>+'TRIAL-BALANCE'!E8</f>
        <v>2021</v>
      </c>
      <c r="M228" s="2376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2295</v>
      </c>
      <c r="E229" s="2377">
        <f>+'TRIAL-BALANCE'!E8</f>
        <v>2021</v>
      </c>
      <c r="F229" s="2377"/>
      <c r="G229" s="2377"/>
      <c r="H229" s="2377"/>
      <c r="I229" s="2252" t="s">
        <v>1922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1431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2296</v>
      </c>
      <c r="E231" s="2252"/>
      <c r="F231" s="2252"/>
      <c r="G231" s="2252"/>
      <c r="H231" s="2252"/>
      <c r="I231" s="2252"/>
      <c r="J231" s="2252"/>
      <c r="K231" s="2252"/>
      <c r="L231" s="2375">
        <f>+'TRIAL-BALANCE'!E8</f>
        <v>2021</v>
      </c>
      <c r="M231" s="2376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1924</v>
      </c>
      <c r="E232" s="2374">
        <f>+'TRIAL-BALANCE'!E8</f>
        <v>2021</v>
      </c>
      <c r="F232" s="2374"/>
      <c r="G232" s="2374"/>
      <c r="H232" s="2374"/>
      <c r="I232" s="2252" t="s">
        <v>1923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2297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2298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1998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2299</v>
      </c>
      <c r="E235" s="2378">
        <f>+'TRIAL-BALANCE'!E8</f>
        <v>2021</v>
      </c>
      <c r="F235" s="2378"/>
      <c r="G235" s="2378"/>
      <c r="H235" s="2378"/>
      <c r="I235" s="2379">
        <f>+'TRIAL-BALANCE'!E8</f>
        <v>2021</v>
      </c>
      <c r="J235" s="2379"/>
      <c r="K235" s="2379"/>
      <c r="L235" s="2284" t="s">
        <v>2043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1924</v>
      </c>
      <c r="E236" s="2383">
        <f>+'TRIAL-BALANCE'!E8</f>
        <v>2021</v>
      </c>
      <c r="F236" s="2383"/>
      <c r="G236" s="2383"/>
      <c r="H236" s="2383"/>
      <c r="I236" s="2252" t="s">
        <v>1935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1936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2300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2301</v>
      </c>
      <c r="E239" s="2384">
        <f>+'TRIAL-BALANCE'!E8</f>
        <v>2021</v>
      </c>
      <c r="F239" s="2384"/>
      <c r="G239" s="2384"/>
      <c r="H239" s="2384"/>
      <c r="I239" s="2252" t="s">
        <v>1934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2302</v>
      </c>
      <c r="E240" s="2262"/>
      <c r="F240" s="2262"/>
      <c r="G240" s="2262"/>
      <c r="H240" s="2385">
        <f>+'TRIAL-BALANCE'!E8</f>
        <v>2021</v>
      </c>
      <c r="I240" s="2385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1925</v>
      </c>
      <c r="E241" s="2379">
        <f>+'TRIAL-BALANCE'!E8</f>
        <v>2021</v>
      </c>
      <c r="F241" s="2379"/>
      <c r="G241" s="2379"/>
      <c r="H241" s="2379"/>
      <c r="I241" s="2252" t="s">
        <v>1926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2303</v>
      </c>
      <c r="E242" s="2252"/>
      <c r="F242" s="2262"/>
      <c r="G242" s="2262"/>
      <c r="H242" s="2262"/>
      <c r="I242" s="2385">
        <f>+'TRIAL-BALANCE'!E8</f>
        <v>2021</v>
      </c>
      <c r="J242" s="2385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1927</v>
      </c>
      <c r="E243" s="2252"/>
      <c r="F243" s="2252"/>
      <c r="G243" s="2386">
        <f>+'TRIAL-BALANCE'!E8</f>
        <v>2021</v>
      </c>
      <c r="H243" s="2386"/>
      <c r="I243" s="2386"/>
      <c r="J243" s="2387">
        <f>+'TRIAL-BALANCE'!E8</f>
        <v>2021</v>
      </c>
      <c r="K243" s="2387"/>
      <c r="L243" s="2380">
        <f>+'TRIAL-BALANCE'!E8</f>
        <v>2021</v>
      </c>
      <c r="M243" s="2381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>
      <c r="A244" s="2248"/>
      <c r="B244" s="2251"/>
      <c r="C244" s="2256"/>
      <c r="D244" s="2382">
        <f>+'TRIAL-BALANCE'!E8</f>
        <v>2021</v>
      </c>
      <c r="E244" s="2382"/>
      <c r="F244" s="2382"/>
      <c r="G244" s="2252" t="s">
        <v>2304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2042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2305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>
      <c r="A247" s="2248"/>
      <c r="B247" s="2251"/>
      <c r="C247" s="2256">
        <f>1+C245</f>
        <v>72</v>
      </c>
      <c r="D247" s="2325" t="s">
        <v>2306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1430</v>
      </c>
      <c r="C249" s="2255" t="s">
        <v>1432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1433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>
      <c r="A251" s="2248"/>
      <c r="B251" s="2251"/>
      <c r="C251" s="2256">
        <f>1+C250</f>
        <v>74</v>
      </c>
      <c r="D251" s="2276" t="s">
        <v>1434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1435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1436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1437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1438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1439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1440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5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E74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7" t="str">
        <f>+'TRIAL-BALANCE'!E2</f>
        <v>ОБЩИНА ГУЛЯНЦИ</v>
      </c>
      <c r="B1" s="2578"/>
      <c r="C1" s="2578"/>
      <c r="D1" s="2579"/>
      <c r="E1" s="301" t="s">
        <v>792</v>
      </c>
      <c r="F1" s="300"/>
      <c r="G1" s="2575">
        <f>+'TRIAL-BALANCE'!C6</f>
        <v>413691</v>
      </c>
      <c r="H1" s="2576"/>
      <c r="I1" s="300"/>
      <c r="J1" s="301" t="s">
        <v>1212</v>
      </c>
      <c r="K1" s="1937">
        <f>+'TRIAL-BALANCE'!C8</f>
        <v>6502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81" t="str">
        <f>+'BALANCE-SHEET-2021-leva'!A2:D2</f>
        <v>(бюджетна организация, предприятие по чл. 165, ал. 1 от ЗПФ, поделение)</v>
      </c>
      <c r="B2" s="2582"/>
      <c r="C2" s="2582"/>
      <c r="D2" s="2583"/>
      <c r="E2" s="2586">
        <f>+'BALANCE-SHEET-2021-leva'!E2</f>
        <v>0</v>
      </c>
      <c r="F2" s="2586"/>
      <c r="G2" s="2586"/>
      <c r="H2" s="2586"/>
      <c r="I2" s="300"/>
      <c r="J2" s="2589">
        <f>+'BALANCE-SHEET-2021-leva'!J2:K2</f>
        <v>0</v>
      </c>
      <c r="K2" s="2589"/>
      <c r="L2" s="300"/>
      <c r="M2" s="2589">
        <f>+'BALANCE-SHEET-2021-leva'!M2:N2</f>
        <v>0</v>
      </c>
      <c r="N2" s="2589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506" t="str">
        <f>+'TRIAL-BALANCE'!G4</f>
        <v>ГР. ГУЛЯНЦИ УЛ.ВАСИЛ ЛЕВСКИ 32</v>
      </c>
      <c r="B3" s="2507"/>
      <c r="C3" s="2507"/>
      <c r="D3" s="2508"/>
      <c r="E3" s="304" t="s">
        <v>1205</v>
      </c>
      <c r="F3" s="302"/>
      <c r="G3" s="2584">
        <f>+'TRIAL-BALANCE'!J8</f>
        <v>0</v>
      </c>
      <c r="H3" s="2585"/>
      <c r="I3" s="300"/>
      <c r="J3" s="2212" t="s">
        <v>2108</v>
      </c>
      <c r="K3" s="2490">
        <f>+'TRIAL-BALANCE'!G6</f>
        <v>0</v>
      </c>
      <c r="L3" s="2491"/>
      <c r="M3" s="2491"/>
      <c r="N3" s="2492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80" t="str">
        <f>+A1</f>
        <v>ОБЩИНА ГУЛЯНЦИ</v>
      </c>
      <c r="C5" s="2580"/>
      <c r="D5" s="2580"/>
      <c r="E5" s="2580"/>
      <c r="F5" s="2580"/>
      <c r="G5" s="2580"/>
      <c r="H5" s="1261" t="str">
        <f>+'BALANCE-SHEET-2021-leva'!H5</f>
        <v xml:space="preserve">  към</v>
      </c>
      <c r="I5" s="158"/>
      <c r="J5" s="1266" t="str">
        <f>+'BALANCE-SHEET-2021-leva'!J5</f>
        <v>31 март 2021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87">
        <f>+'BALANCE-SHEET-2021-leva'!D6:E6</f>
        <v>0</v>
      </c>
      <c r="E6" s="2587"/>
      <c r="F6" s="164"/>
      <c r="G6" s="2587">
        <f>+'BALANCE-SHEET-2021-leva'!G6:H6</f>
        <v>0</v>
      </c>
      <c r="H6" s="2588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1" t="s">
        <v>2181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91" t="s">
        <v>398</v>
      </c>
      <c r="N7" s="2592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2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93"/>
      <c r="N8" s="2594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83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4801.7481200000002</v>
      </c>
      <c r="E13" s="660">
        <f>+'BALANCE-SHEET-2021-leva'!E13/1000+IF(+Rounding!$C$6=$B13,+Rounding!E$6,0)+IF(+Rounding!$C$7=$B13,+Rounding!E$7,0)</f>
        <v>4814.2712300000003</v>
      </c>
      <c r="F13" s="154"/>
      <c r="G13" s="659">
        <f>+'BALANCE-SHEET-2021-leva'!G13/1000+IF(+Rounding!$G$6=$B13,+Rounding!H$6,0)+IF(+Rounding!$G$7=$B13,+Rounding!H$7,0)</f>
        <v>1630.6606899999999</v>
      </c>
      <c r="H13" s="660">
        <f>+'BALANCE-SHEET-2021-leva'!H13/1000+IF(+Rounding!$G$6=$B13,+Rounding!I$6,0)+IF(+Rounding!$G$7=$B13,+Rounding!I$7,0)</f>
        <v>1630.6606899999999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6432.4088099999999</v>
      </c>
      <c r="N13" s="660">
        <f>+E13+H13+K13+IF(+Rounding!$O$6=$B13,+Rounding!Q$6,0)+IF(+Rounding!$O$7=$B13,+Rounding!Q$7,0)</f>
        <v>6444.93192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+'BALANCE-SHEET-2021-leva'!D14/1000+IF(+Rounding!$C$6=$B14,+Rounding!D$6,0)+IF(+Rounding!$C$7=$B14,+Rounding!D$7,0)</f>
        <v>5991.6148300000004</v>
      </c>
      <c r="E14" s="660">
        <f>+'BALANCE-SHEET-2021-leva'!E14/1000+IF(+Rounding!$C$6=$B14,+Rounding!E$6,0)+IF(+Rounding!$C$7=$B14,+Rounding!E$7,0)</f>
        <v>6069.97372</v>
      </c>
      <c r="F14" s="154"/>
      <c r="G14" s="659">
        <f>+'BALANCE-SHEET-2021-leva'!G14/1000+IF(+Rounding!$G$6=$B14,+Rounding!H$6,0)+IF(+Rounding!$G$7=$B14,+Rounding!H$7,0)</f>
        <v>164.36543</v>
      </c>
      <c r="H14" s="660">
        <f>+'BALANCE-SHEET-2021-leva'!H14/1000+IF(+Rounding!$G$6=$B14,+Rounding!I$6,0)+IF(+Rounding!$G$7=$B14,+Rounding!I$7,0)</f>
        <v>164.36543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6155.9802600000003</v>
      </c>
      <c r="N14" s="660">
        <f>+E14+H14+K14+IF(+Rounding!$O$6=$B14,+Rounding!Q$6,0)+IF(+Rounding!$O$7=$B14,+Rounding!Q$7,0)</f>
        <v>6234.3391499999998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169.10146</v>
      </c>
      <c r="E15" s="660">
        <f>+'BALANCE-SHEET-2021-leva'!E15/1000+IF(+Rounding!$C$6=$B15,+Rounding!E$6,0)+IF(+Rounding!$C$7=$B15,+Rounding!E$7,0)</f>
        <v>171.97588000000002</v>
      </c>
      <c r="F15" s="154"/>
      <c r="G15" s="659">
        <f>+'BALANCE-SHEET-2021-leva'!G15/1000+IF(+Rounding!$G$6=$B15,+Rounding!H$6,0)+IF(+Rounding!$G$7=$B15,+Rounding!H$7,0)</f>
        <v>1.3080000000000001</v>
      </c>
      <c r="H15" s="660">
        <f>+'BALANCE-SHEET-2021-leva'!H15/1000+IF(+Rounding!$G$6=$B15,+Rounding!I$6,0)+IF(+Rounding!$G$7=$B15,+Rounding!I$7,0)</f>
        <v>1.3080000000000001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170.40946</v>
      </c>
      <c r="N15" s="660">
        <f>+E15+H15+K15+IF(+Rounding!$O$6=$B15,+Rounding!Q$6,0)+IF(+Rounding!$O$7=$B15,+Rounding!Q$7,0)</f>
        <v>173.28388000000001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6.6</v>
      </c>
      <c r="E16" s="660">
        <f>+'BALANCE-SHEET-2021-leva'!E16/1000+IF(+Rounding!$C$6=$B16,+Rounding!E$6,0)+IF(+Rounding!$C$7=$B16,+Rounding!E$7,0)</f>
        <v>6.6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2819.7056899999998</v>
      </c>
      <c r="K16" s="660">
        <f>+'BALANCE-SHEET-2021-leva'!K16/1000+IF(+Rounding!$K$6=$B16,+Rounding!M$6,0)+IF(+Rounding!$K$7=$B16,+Rounding!M$7,0)</f>
        <v>2819.7056899999998</v>
      </c>
      <c r="L16" s="154"/>
      <c r="M16" s="659">
        <f>+D16+G16+J16+IF(+Rounding!$O$6=$B16,+Rounding!P$6,0)+IF(+Rounding!$O$7=$B16,+Rounding!P$7,0)</f>
        <v>2826.3056899999997</v>
      </c>
      <c r="N16" s="660">
        <f>+E16+H16+K16+IF(+Rounding!$O$6=$B16,+Rounding!Q$6,0)+IF(+Rounding!$O$7=$B16,+Rounding!Q$7,0)</f>
        <v>2826.3056899999997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24135.745199999998</v>
      </c>
      <c r="K17" s="660">
        <f>+'BALANCE-SHEET-2021-leva'!K17/1000+IF(+Rounding!$K$6=$B17,+Rounding!M$6,0)+IF(+Rounding!$K$7=$B17,+Rounding!M$7,0)</f>
        <v>24678.136770000001</v>
      </c>
      <c r="L17" s="154"/>
      <c r="M17" s="659">
        <f>+D17+G17+J17+IF(+Rounding!$O$6=$B17,+Rounding!P$6,0)+IF(+Rounding!$O$7=$B17,+Rounding!P$7,0)</f>
        <v>24135.745199999998</v>
      </c>
      <c r="N17" s="660">
        <f>+E17+H17+K17+IF(+Rounding!$O$6=$B17,+Rounding!Q$6,0)+IF(+Rounding!$O$7=$B17,+Rounding!Q$7,0)</f>
        <v>24678.136770000001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+'BALANCE-SHEET-2021-leva'!D19/1000+IF(+Rounding!$C$6=$B19,+Rounding!D$6,0)+IF(+Rounding!$C$7=$B19,+Rounding!D$7,0)</f>
        <v>736.83339000000001</v>
      </c>
      <c r="E19" s="662">
        <f>+'BALANCE-SHEET-2021-leva'!E19/1000+IF(+Rounding!$C$6=$B19,+Rounding!E$6,0)+IF(+Rounding!$C$7=$B19,+Rounding!E$7,0)</f>
        <v>736.83339000000001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30727.061109999999</v>
      </c>
      <c r="K19" s="660">
        <f>+'BALANCE-SHEET-2021-leva'!K19/1000+IF(+Rounding!$K$6=$B19,+Rounding!M$6,0)+IF(+Rounding!$K$7=$B19,+Rounding!M$7,0)</f>
        <v>30727.061109999999</v>
      </c>
      <c r="L19" s="154"/>
      <c r="M19" s="659">
        <f>+D19+G19+J19+IF(+Rounding!$O$6=$B19,+Rounding!P$6,0)+IF(+Rounding!$O$7=$B19,+Rounding!P$7,0)</f>
        <v>31463.894499999999</v>
      </c>
      <c r="N19" s="660">
        <f>+E19+H19+K19+IF(+Rounding!$O$6=$B19,+Rounding!Q$6,0)+IF(+Rounding!$O$7=$B19,+Rounding!Q$7,0)</f>
        <v>31463.894499999999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11705.897800000001</v>
      </c>
      <c r="E20" s="664">
        <f>+E13+E14+E15+E16+E17+E18+E19</f>
        <v>11799.65422</v>
      </c>
      <c r="F20" s="154"/>
      <c r="G20" s="663">
        <f>+G13+G14+G15+G16+G17+G18+G19</f>
        <v>1796.33412</v>
      </c>
      <c r="H20" s="664">
        <f>+H13+H14+H15+H16+H17+H18+H19</f>
        <v>1796.33412</v>
      </c>
      <c r="I20" s="154"/>
      <c r="J20" s="663">
        <f>+J13+J14+J15+J16+J17+J18+J19</f>
        <v>57682.511999999995</v>
      </c>
      <c r="K20" s="664">
        <f>+K13+K14+K15+K16+K17+K18+K19</f>
        <v>58224.903569999995</v>
      </c>
      <c r="L20" s="154"/>
      <c r="M20" s="663">
        <f>+M13+M14+M15+M16+M17+M18+M19</f>
        <v>71184.743919999994</v>
      </c>
      <c r="N20" s="664">
        <f>+N13+N14+N15+N16+N17+N18+N19</f>
        <v>71820.891909999991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159.22533999999999</v>
      </c>
      <c r="E22" s="664">
        <f>+'BALANCE-SHEET-2021-leva'!E22/1000+IF(+Rounding!$C$6=$B22,+Rounding!E$6,0)+IF(+Rounding!$C$7=$B22,+Rounding!E$7,0)</f>
        <v>164.82585999999998</v>
      </c>
      <c r="F22" s="154"/>
      <c r="G22" s="663">
        <f>+'BALANCE-SHEET-2021-leva'!G22/1000+IF(+Rounding!$G$6=$B22,+Rounding!H$6,0)+IF(+Rounding!$G$7=$B22,+Rounding!H$7,0)</f>
        <v>6.968</v>
      </c>
      <c r="H22" s="664">
        <f>+'BALANCE-SHEET-2021-leva'!H22/1000+IF(+Rounding!$G$6=$B22,+Rounding!I$6,0)+IF(+Rounding!$G$7=$B22,+Rounding!I$7,0)</f>
        <v>6.968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166.19333999999998</v>
      </c>
      <c r="N22" s="664">
        <f>+E22+H22+K22+IF(+Rounding!$O$6=$B22,+Rounding!Q$6,0)+IF(+Rounding!$O$7=$B22,+Rounding!Q$7,0)</f>
        <v>171.79385999999997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+'BALANCE-SHEET-2021-leva'!D24/1000+IF(+Rounding!$C$6=$B24,+Rounding!D$6,0)+IF(+Rounding!$C$7=$B24,+Rounding!D$7,0)</f>
        <v>334.87976000000003</v>
      </c>
      <c r="E24" s="660">
        <f>+'BALANCE-SHEET-2021-leva'!E24/1000+IF(+Rounding!$C$6=$B24,+Rounding!E$6,0)+IF(+Rounding!$C$7=$B24,+Rounding!E$7,0)</f>
        <v>346.22796</v>
      </c>
      <c r="F24" s="154"/>
      <c r="G24" s="659">
        <f>+'BALANCE-SHEET-2021-leva'!G24/1000+IF(+Rounding!$G$6=$B24,+Rounding!H$6,0)+IF(+Rounding!$G$7=$B24,+Rounding!H$7,0)</f>
        <v>135.39322000000001</v>
      </c>
      <c r="H24" s="660">
        <f>+'BALANCE-SHEET-2021-leva'!H24/1000+IF(+Rounding!$G$6=$B24,+Rounding!I$6,0)+IF(+Rounding!$G$7=$B24,+Rounding!I$7,0)</f>
        <v>126.80822000000001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470.27298000000008</v>
      </c>
      <c r="N24" s="660">
        <f>+E24+H24+K24+IF(+Rounding!$O$6=$B24,+Rounding!Q$6,0)+IF(+Rounding!$O$7=$B24,+Rounding!Q$7,0)</f>
        <v>473.03618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334.87976000000003</v>
      </c>
      <c r="E26" s="664">
        <f>++E24+E25</f>
        <v>346.22796</v>
      </c>
      <c r="F26" s="154"/>
      <c r="G26" s="663">
        <f>+G24+G25</f>
        <v>135.39322000000001</v>
      </c>
      <c r="H26" s="664">
        <f>++H24+H25</f>
        <v>126.80822000000001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470.27298000000008</v>
      </c>
      <c r="N26" s="664">
        <f>++N24+N25</f>
        <v>473.03618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12200.002900000001</v>
      </c>
      <c r="E28" s="678">
        <f>++E20+E22+E26</f>
        <v>12310.708040000001</v>
      </c>
      <c r="F28" s="154"/>
      <c r="G28" s="677">
        <f>++G20+G22+G26</f>
        <v>1938.69534</v>
      </c>
      <c r="H28" s="678">
        <f>++H20+H22+H26</f>
        <v>1930.1103400000002</v>
      </c>
      <c r="I28" s="154"/>
      <c r="J28" s="677">
        <f>++J20+J22+J26</f>
        <v>57682.511999999995</v>
      </c>
      <c r="K28" s="678">
        <f>++K20+K22+K26</f>
        <v>58224.903569999995</v>
      </c>
      <c r="L28" s="154"/>
      <c r="M28" s="677">
        <f>++M20+M22+M26</f>
        <v>71821.210239999986</v>
      </c>
      <c r="N28" s="678">
        <f>++N20+N22+N26</f>
        <v>72465.721949999992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+'BALANCE-SHEET-2021-leva'!D31/1000+IF(+Rounding!$C$6=$B31,+Rounding!D$6,0)+IF(+Rounding!$C$7=$B31,+Rounding!D$7,0)</f>
        <v>963.77787000000001</v>
      </c>
      <c r="E31" s="660">
        <f>+'BALANCE-SHEET-2021-leva'!E31/1000+IF(+Rounding!$C$6=$B31,+Rounding!E$6,0)+IF(+Rounding!$C$7=$B31,+Rounding!E$7,0)</f>
        <v>964.91704000000004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963.77787000000001</v>
      </c>
      <c r="N31" s="660">
        <f>+E31+H31+K31+IF(+Rounding!$O$6=$B31,+Rounding!Q$6,0)+IF(+Rounding!$O$7=$B31,+Rounding!Q$7,0)</f>
        <v>964.91704000000004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963.77787000000001</v>
      </c>
      <c r="E34" s="664">
        <f>+E31+E32+E33</f>
        <v>964.91704000000004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963.77787000000001</v>
      </c>
      <c r="N34" s="664">
        <f>+N31+N32+N33</f>
        <v>964.91704000000004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20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20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20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20</v>
      </c>
      <c r="O38" s="303"/>
      <c r="P38" s="1242" t="s">
        <v>1195</v>
      </c>
      <c r="Q38" s="1243" t="s">
        <v>1964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1983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+'BALANCE-SHEET-2021-leva'!D41/1000+IF(+Rounding!$C$6=$B41,+Rounding!D$6,0)+IF(+Rounding!$C$7=$B41,+Rounding!D$7,0)</f>
        <v>416.58974999999998</v>
      </c>
      <c r="E41" s="660">
        <f>+'BALANCE-SHEET-2021-leva'!E41/1000+IF(+Rounding!$C$6=$B41,+Rounding!E$6,0)+IF(+Rounding!$C$7=$B41,+Rounding!E$7,0)</f>
        <v>468.93734000000001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416.58974999999998</v>
      </c>
      <c r="N41" s="660">
        <f>+E41+H41+K41+IF(+Rounding!$O$6=$B41,+Rounding!Q$6,0)+IF(+Rounding!$O$7=$B41,+Rounding!Q$7,0)</f>
        <v>468.93734000000001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+'BALANCE-SHEET-2021-leva'!D42/1000+IF(+Rounding!$C$6=$B42,+Rounding!D$6,0)+IF(+Rounding!$C$7=$B42,+Rounding!D$7,0)</f>
        <v>36.180870000000006</v>
      </c>
      <c r="E42" s="660">
        <f>+'BALANCE-SHEET-2021-leva'!E42/1000+IF(+Rounding!$C$6=$B42,+Rounding!E$6,0)+IF(+Rounding!$C$7=$B42,+Rounding!E$7,0)</f>
        <v>31.513390000000001</v>
      </c>
      <c r="F42" s="154"/>
      <c r="G42" s="659">
        <f>+'BALANCE-SHEET-2021-leva'!G42/1000+IF(+Rounding!$G$6=$B42,+Rounding!H$6,0)+IF(+Rounding!$G$7=$B42,+Rounding!H$7,0)</f>
        <v>477.04480999999998</v>
      </c>
      <c r="H42" s="660">
        <f>+'BALANCE-SHEET-2021-leva'!H42/1000+IF(+Rounding!$G$6=$B42,+Rounding!I$6,0)+IF(+Rounding!$G$7=$B42,+Rounding!I$7,0)</f>
        <v>477.04480999999998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513.22568000000001</v>
      </c>
      <c r="N42" s="660">
        <f>+E42+H42+K42+IF(+Rounding!$O$6=$B42,+Rounding!Q$6,0)+IF(+Rounding!$O$7=$B42,+Rounding!Q$7,0)</f>
        <v>508.5582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+'BALANCE-SHEET-2021-leva'!D43/1000+IF(+Rounding!$C$6=$B43,+Rounding!D$6,0)+IF(+Rounding!$C$7=$B43,+Rounding!D$7,0)</f>
        <v>2.0209999999999999</v>
      </c>
      <c r="E43" s="660">
        <f>+'BALANCE-SHEET-2021-leva'!E43/1000+IF(+Rounding!$C$6=$B43,+Rounding!E$6,0)+IF(+Rounding!$C$7=$B43,+Rounding!E$7,0)</f>
        <v>2.0209999999999999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2.0209999999999999</v>
      </c>
      <c r="N43" s="660">
        <f>+E43+H43+K43+IF(+Rounding!$O$6=$B43,+Rounding!Q$6,0)+IF(+Rounding!$O$7=$B43,+Rounding!Q$7,0)</f>
        <v>2.0209999999999999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+'BALANCE-SHEET-2021-leva'!D44/1000+IF(+Rounding!$C$6=$B44,+Rounding!D$6,0)+IF(+Rounding!$C$7=$B44,+Rounding!D$7,0)</f>
        <v>395.01578000000001</v>
      </c>
      <c r="E44" s="660">
        <f>+'BALANCE-SHEET-2021-leva'!E44/1000+IF(+Rounding!$C$6=$B44,+Rounding!E$6,0)+IF(+Rounding!$C$7=$B44,+Rounding!E$7,0)</f>
        <v>76.497420000000005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230</v>
      </c>
      <c r="K44" s="660">
        <f>+'BALANCE-SHEET-2021-leva'!K44/1000+IF(+Rounding!$K$6=$B44,+Rounding!M$6,0)+IF(+Rounding!$K$7=$B44,+Rounding!M$7,0)</f>
        <v>20</v>
      </c>
      <c r="L44" s="154"/>
      <c r="M44" s="659">
        <f>+D44+G44+J44+IF(+Rounding!$O$6=$B44,+Rounding!P$6,0)+IF(+Rounding!$O$7=$B44,+Rounding!P$7,0)-P44</f>
        <v>625.01577999999995</v>
      </c>
      <c r="N44" s="660">
        <f>+E44+H44+K44+IF(+Rounding!$O$6=$B44,+Rounding!Q$6,0)+IF(+Rounding!$O$7=$B44,+Rounding!Q$7,0)-Q44</f>
        <v>96.497420000000005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+'BALANCE-SHEET-2021-leva'!D45/1000+IF(+Rounding!$C$6=$B45,+Rounding!D$6,0)+IF(+Rounding!$C$7=$B45,+Rounding!D$7,0)</f>
        <v>135.80126000000001</v>
      </c>
      <c r="E45" s="662">
        <f>+'BALANCE-SHEET-2021-leva'!E45/1000+IF(+Rounding!$C$6=$B45,+Rounding!E$6,0)+IF(+Rounding!$C$7=$B45,+Rounding!E$7,0)</f>
        <v>131.98116000000002</v>
      </c>
      <c r="F45" s="154"/>
      <c r="G45" s="661">
        <f>+'BALANCE-SHEET-2021-leva'!G45/1000+IF(+Rounding!$G$6=$B45,+Rounding!H$6,0)+IF(+Rounding!$G$7=$B45,+Rounding!H$7,0)</f>
        <v>109.46961999999999</v>
      </c>
      <c r="H45" s="662">
        <f>+'BALANCE-SHEET-2021-leva'!H45/1000+IF(+Rounding!$G$6=$B45,+Rounding!I$6,0)+IF(+Rounding!$G$7=$B45,+Rounding!I$7,0)</f>
        <v>155.82414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245.27088000000001</v>
      </c>
      <c r="N45" s="662">
        <f>+E45+H45+K45+IF(+Rounding!$O$6=$B45,+Rounding!Q$6,0)+IF(+Rounding!$O$7=$B45,+Rounding!Q$7,0)-Q45</f>
        <v>287.80529999999999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985.6086600000001</v>
      </c>
      <c r="E46" s="664">
        <f>+E40+E41+E42+E43+E44+E45</f>
        <v>710.95031000000006</v>
      </c>
      <c r="F46" s="154"/>
      <c r="G46" s="663">
        <f>+G40+G41+G42+G43+G44+G45</f>
        <v>586.51442999999995</v>
      </c>
      <c r="H46" s="664">
        <f>+H40+H41+H42+H43+H44+H45</f>
        <v>632.86895000000004</v>
      </c>
      <c r="I46" s="154"/>
      <c r="J46" s="663">
        <f>+J40+J41+J42+J43+J44+J45</f>
        <v>230</v>
      </c>
      <c r="K46" s="664">
        <f>+K40+K41+K42+K43+K44+K45</f>
        <v>20</v>
      </c>
      <c r="L46" s="154"/>
      <c r="M46" s="663">
        <f>+M40+M41+M42+M43+M44+M45</f>
        <v>1802.12309</v>
      </c>
      <c r="N46" s="664">
        <f>+N40+N41+N42+N43+N44+N45</f>
        <v>1363.81926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+'BALANCE-SHEET-2021-leva'!D48/1000+IF(+Rounding!$C$6=$B48,+Rounding!D$6,0)+IF(+Rounding!$C$7=$B48,+Rounding!D$7,0)</f>
        <v>6.4742600000000001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6.4742600000000001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+'BALANCE-SHEET-2021-leva'!D49/1000+IF(+Rounding!$C$6=$B49,+Rounding!D$6,0)+IF(+Rounding!$C$7=$B49,+Rounding!D$7,0)</f>
        <v>3191.9406899999999</v>
      </c>
      <c r="E49" s="662">
        <f>+'BALANCE-SHEET-2021-leva'!E49/1000+IF(+Rounding!$C$6=$B49,+Rounding!E$6,0)+IF(+Rounding!$C$7=$B49,+Rounding!E$7,0)</f>
        <v>2699.4595399999998</v>
      </c>
      <c r="F49" s="154"/>
      <c r="G49" s="661">
        <f>+'BALANCE-SHEET-2021-leva'!G49/1000+IF(+Rounding!$G$6=$B49,+Rounding!H$6,0)+IF(+Rounding!$G$7=$B49,+Rounding!H$7,0)</f>
        <v>35.991849999999999</v>
      </c>
      <c r="H49" s="662">
        <f>+'BALANCE-SHEET-2021-leva'!H49/1000+IF(+Rounding!$G$6=$B49,+Rounding!I$6,0)+IF(+Rounding!$G$7=$B49,+Rounding!I$7,0)</f>
        <v>92.989670000000004</v>
      </c>
      <c r="I49" s="154"/>
      <c r="J49" s="661">
        <f>+'BALANCE-SHEET-2021-leva'!J49/1000+IF(+Rounding!$K$6=$B49,+Rounding!L$6,0)+IF(+Rounding!$K$7=$B49,+Rounding!L$7,0)</f>
        <v>389.77204</v>
      </c>
      <c r="K49" s="662">
        <f>+'BALANCE-SHEET-2021-leva'!K49/1000+IF(+Rounding!$K$6=$B49,+Rounding!M$6,0)+IF(+Rounding!$K$7=$B49,+Rounding!M$7,0)</f>
        <v>593.06796999999995</v>
      </c>
      <c r="L49" s="154"/>
      <c r="M49" s="661">
        <f>+D49+G49+J49+IF(+Rounding!$O$6=$B49,+Rounding!P$6,0)+IF(+Rounding!$O$7=$B49,+Rounding!P$7,0)</f>
        <v>3617.7045799999996</v>
      </c>
      <c r="N49" s="662">
        <f>+E49+H49+K49+IF(+Rounding!$O$6=$B49,+Rounding!Q$6,0)+IF(+Rounding!$O$7=$B49,+Rounding!Q$7,0)</f>
        <v>3385.5171799999998</v>
      </c>
      <c r="O49" s="303"/>
      <c r="P49" s="2542" t="str">
        <f>+'BALANCE-SHEET-2021-leva'!P49:Q49</f>
        <v>O K</v>
      </c>
      <c r="Q49" s="254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3198.4149499999999</v>
      </c>
      <c r="E50" s="664">
        <f>+E48+E49</f>
        <v>2699.4595399999998</v>
      </c>
      <c r="F50" s="154"/>
      <c r="G50" s="663">
        <f>+G48+G49</f>
        <v>35.991849999999999</v>
      </c>
      <c r="H50" s="664">
        <f>+H48+H49</f>
        <v>92.989670000000004</v>
      </c>
      <c r="I50" s="154"/>
      <c r="J50" s="663">
        <f>+J48+J49</f>
        <v>389.77204</v>
      </c>
      <c r="K50" s="664">
        <f>+K48+K49</f>
        <v>593.06796999999995</v>
      </c>
      <c r="L50" s="154"/>
      <c r="M50" s="663">
        <f>+M48+M49</f>
        <v>3624.1788399999996</v>
      </c>
      <c r="N50" s="664">
        <f>+N48+N49</f>
        <v>3385.5171799999998</v>
      </c>
      <c r="O50" s="303"/>
      <c r="P50" s="2543" t="str">
        <f>+'BALANCE-SHEET-2021-leva'!P50:Q50</f>
        <v>O K</v>
      </c>
      <c r="Q50" s="254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5147.8014800000001</v>
      </c>
      <c r="E52" s="678">
        <f>+E34+E38+E46+E50</f>
        <v>4395.3268900000003</v>
      </c>
      <c r="F52" s="154"/>
      <c r="G52" s="677">
        <f>+G34+G38+G46+G50</f>
        <v>622.50627999999995</v>
      </c>
      <c r="H52" s="678">
        <f>+H34+H38+H46+H50</f>
        <v>725.85862000000009</v>
      </c>
      <c r="I52" s="154"/>
      <c r="J52" s="677">
        <f>+J34+J38+J46+J50</f>
        <v>619.77204000000006</v>
      </c>
      <c r="K52" s="678">
        <f>+K34+K38+K46+K50</f>
        <v>613.06796999999995</v>
      </c>
      <c r="L52" s="154"/>
      <c r="M52" s="677">
        <f>+M34+M38+M46+M50</f>
        <v>6390.0797999999995</v>
      </c>
      <c r="N52" s="678">
        <f>+N34+N38+N46+N50</f>
        <v>5734.2534799999994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17348</v>
      </c>
      <c r="E54" s="2039">
        <f>+ROUND(+E28+E52,0)</f>
        <v>16706</v>
      </c>
      <c r="F54" s="154"/>
      <c r="G54" s="2038">
        <f>+ROUND(+G28+G52,0)</f>
        <v>2561</v>
      </c>
      <c r="H54" s="2039">
        <f>+ROUND(+H28+H52,0)</f>
        <v>2656</v>
      </c>
      <c r="I54" s="154"/>
      <c r="J54" s="2038">
        <f>+ROUND(+J28+J52,0)</f>
        <v>58302</v>
      </c>
      <c r="K54" s="2039">
        <f>+ROUND(+K28+K52,0)</f>
        <v>58838</v>
      </c>
      <c r="L54" s="154"/>
      <c r="M54" s="2038">
        <f>+ROUND(+M28+M52,0)</f>
        <v>78211</v>
      </c>
      <c r="N54" s="2039">
        <f>+ROUND(+N28+N52,0)</f>
        <v>78200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+ROUND('BALANCE-SHEET-2021-leva'!D55/1000,0)+Rounding!D62</f>
        <v>2464</v>
      </c>
      <c r="E55" s="668">
        <f>+ROUND('BALANCE-SHEET-2021-leva'!E55/1000,0)+Rounding!E62</f>
        <v>2451</v>
      </c>
      <c r="F55" s="154"/>
      <c r="G55" s="667">
        <f>+ROUND('BALANCE-SHEET-2021-leva'!G55/1000,0)+Rounding!H62</f>
        <v>455</v>
      </c>
      <c r="H55" s="668">
        <f>+ROUND('BALANCE-SHEET-2021-leva'!H55/1000,0)+Rounding!I62</f>
        <v>477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2919</v>
      </c>
      <c r="N55" s="668">
        <f>+ROUND((E55+H55+K55),0)+Rounding!Q62</f>
        <v>2928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2181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91" t="s">
        <v>398</v>
      </c>
      <c r="N58" s="2592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93"/>
      <c r="N59" s="2594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+'BALANCE-SHEET-2021-leva'!D63/1000+IF(+Rounding!$C$54=$B63,+Rounding!D$54,0)+IF(+Rounding!$C$55=$B63,+Rounding!D$55,0)</f>
        <v>12969.320109999999</v>
      </c>
      <c r="E63" s="672">
        <f>+'BALANCE-SHEET-2021-leva'!E63/1000+IF(+Rounding!$C$54=$B63,+Rounding!E$54,0)+IF(+Rounding!$C$55=$B63,+Rounding!E$55,0)</f>
        <v>12969.320109999999</v>
      </c>
      <c r="F63" s="154"/>
      <c r="G63" s="659">
        <f>+'BALANCE-SHEET-2021-leva'!G63/1000+IF(+Rounding!$G$54=$B63,+Rounding!H$54,0)+IF(+Rounding!$G$55=$B63,+Rounding!H$55,0)</f>
        <v>7.4990500000000004</v>
      </c>
      <c r="H63" s="660">
        <f>+'BALANCE-SHEET-2021-leva'!H63/1000+IF(+Rounding!$G$54=$B63,+Rounding!I$54,0)+IF(+Rounding!$G$55=$B63,+Rounding!I$55,0)</f>
        <v>7.4990500000000004</v>
      </c>
      <c r="I63" s="154"/>
      <c r="J63" s="659">
        <f>+'BALANCE-SHEET-2021-leva'!J63/1000+IF(+Rounding!$K$54=$B63,+Rounding!L$54,0)+IF(+Rounding!$K$55=$B63,+Rounding!L$55,0)</f>
        <v>18.72654</v>
      </c>
      <c r="K63" s="660">
        <f>+'BALANCE-SHEET-2021-leva'!K63/1000+IF(+Rounding!$K$54=$B63,+Rounding!M$54,0)+IF(+Rounding!$K$55=$B63,+Rounding!M$55,0)</f>
        <v>18.72654</v>
      </c>
      <c r="L63" s="154"/>
      <c r="M63" s="659">
        <f>+D63+G63+J63+IF(+Rounding!$O$54=$B63,+Rounding!P$54,0)+IF(+Rounding!$O$55=$B63,+Rounding!P$55,0)</f>
        <v>12995.545699999999</v>
      </c>
      <c r="N63" s="660">
        <f>+E63+H63+K63+IF(+Rounding!$O$54=$B63,+Rounding!Q$54,0)+IF(+Rounding!$O$55=$B63,+Rounding!Q$55,0)</f>
        <v>12995.545699999999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+'BALANCE-SHEET-2021-leva'!D64/1000+IF(+Rounding!$C$54=$B64,+Rounding!D$54,0)+IF(+Rounding!$C$55=$B64,+Rounding!D$55,0)</f>
        <v>3068.2375400000001</v>
      </c>
      <c r="E64" s="660">
        <f>+'BALANCE-SHEET-2021-leva'!E64/1000+IF(+Rounding!$C$54=$B64,+Rounding!E$54,0)+IF(+Rounding!$C$55=$B64,+Rounding!E$55,0)</f>
        <v>1088.9498000000001</v>
      </c>
      <c r="F64" s="154"/>
      <c r="G64" s="659">
        <f>+'BALANCE-SHEET-2021-leva'!G64/1000+IF(+Rounding!$G$54=$B64,+Rounding!H$54,0)+IF(+Rounding!$G$55=$B64,+Rounding!H$55,0)</f>
        <v>-1829.43181</v>
      </c>
      <c r="H64" s="660">
        <f>+'BALANCE-SHEET-2021-leva'!H64/1000+IF(+Rounding!$G$54=$B64,+Rounding!I$54,0)+IF(+Rounding!$G$55=$B64,+Rounding!I$55,0)</f>
        <v>4051.5933399999999</v>
      </c>
      <c r="I64" s="154"/>
      <c r="J64" s="659">
        <f>+'BALANCE-SHEET-2021-leva'!J64/1000+IF(+Rounding!$K$54=$B64,+Rounding!L$54,0)+IF(+Rounding!$K$55=$B64,+Rounding!L$55,0)</f>
        <v>58206.177029999999</v>
      </c>
      <c r="K64" s="660">
        <f>+'BALANCE-SHEET-2021-leva'!K64/1000+IF(+Rounding!$K$54=$B64,+Rounding!M$54,0)+IF(+Rounding!$K$55=$B64,+Rounding!M$55,0)</f>
        <v>53343.885130000002</v>
      </c>
      <c r="L64" s="154"/>
      <c r="M64" s="659">
        <f>+D64+G64+J64+IF(+Rounding!$O$54=$B64,+Rounding!P$54,0)+IF(+Rounding!$O$55=$B64,+Rounding!P$55,0)+P$64</f>
        <v>59444.982759999999</v>
      </c>
      <c r="N64" s="660">
        <f>+E64+H64+K64+IF(+Rounding!$O$54=$B64,+Rounding!Q$54,0)+IF(+Rounding!$O$55=$B64,+Rounding!Q$55,0)+Q$64</f>
        <v>58484.428270000004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+'BALANCE-SHEET-2021-leva'!D65/1000+IF(+Rounding!$C$54=$B65,+Rounding!D$54,0)+IF(+Rounding!$C$55=$B65,+Rounding!D$55,0)</f>
        <v>908.12000999999998</v>
      </c>
      <c r="E65" s="662">
        <f>+'BALANCE-SHEET-2021-leva'!E65/1000+IF(+Rounding!$C$54=$B65,+Rounding!E$54,0)+IF(+Rounding!$C$55=$B65,+Rounding!E$55,0)</f>
        <v>1979.28774</v>
      </c>
      <c r="F65" s="154"/>
      <c r="G65" s="661">
        <f>+'BALANCE-SHEET-2021-leva'!G65/1000+IF(+Rounding!$G$54=$B65,+Rounding!H$54,0)+IF(+Rounding!$G$55=$B65,+Rounding!H$55,0)</f>
        <v>-371.86311000000001</v>
      </c>
      <c r="H65" s="662">
        <f>+'BALANCE-SHEET-2021-leva'!H65/1000+IF(+Rounding!$G$54=$B65,+Rounding!I$54,0)+IF(+Rounding!$G$55=$B65,+Rounding!I$55,0)</f>
        <v>-5881.0251500000004</v>
      </c>
      <c r="I65" s="154"/>
      <c r="J65" s="661">
        <f>+'BALANCE-SHEET-2021-leva'!J65/1000+IF(+Rounding!$K$54=$B65,+Rounding!L$54,0)+IF(+Rounding!$K$55=$B65,+Rounding!L$55,0)</f>
        <v>-542.39157</v>
      </c>
      <c r="K65" s="662">
        <f>+'BALANCE-SHEET-2021-leva'!K65/1000+IF(+Rounding!$K$54=$B65,+Rounding!M$54,0)+IF(+Rounding!$K$55=$B65,+Rounding!M$55,0)</f>
        <v>4862.2919000000002</v>
      </c>
      <c r="L65" s="154"/>
      <c r="M65" s="661">
        <f>+D65+G65+J65+IF(+Rounding!$O$54=$B65,+Rounding!P$54,0)+IF(+Rounding!$O$55=$B65,+Rounding!P$55,0)+P$65</f>
        <v>-6.1346700000000283</v>
      </c>
      <c r="N65" s="662">
        <f>+E65+H65+K65+IF(+Rounding!$O$54=$B65,+Rounding!Q$54,0)+IF(+Rounding!$O$55=$B65,+Rounding!Q$55,0)+Q$65</f>
        <v>960.55448999999953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16945.677659999998</v>
      </c>
      <c r="E66" s="678">
        <f>+E63+E64+E65</f>
        <v>16037.557649999999</v>
      </c>
      <c r="F66" s="154"/>
      <c r="G66" s="677">
        <f>+G63+G64+G65</f>
        <v>-2193.7958699999999</v>
      </c>
      <c r="H66" s="678">
        <f>+H63+H64+H65</f>
        <v>-1821.9327600000006</v>
      </c>
      <c r="I66" s="154"/>
      <c r="J66" s="677">
        <f>+J63+J64+J65</f>
        <v>57682.512000000002</v>
      </c>
      <c r="K66" s="678">
        <f>+K63+K64+K65</f>
        <v>58224.903570000009</v>
      </c>
      <c r="L66" s="154"/>
      <c r="M66" s="677">
        <f>+M63+M64+M65</f>
        <v>72434.393790000002</v>
      </c>
      <c r="N66" s="678">
        <f>+N63+N64+N65</f>
        <v>72440.528460000001</v>
      </c>
      <c r="O66" s="303"/>
      <c r="P66" s="2542" t="str">
        <f>+'BALANCE-SHEET-2021-leva'!P66:Q66</f>
        <v>O K</v>
      </c>
      <c r="Q66" s="254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2180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3" t="str">
        <f>+'BALANCE-SHEET-2021-leva'!P67:Q67</f>
        <v>O K</v>
      </c>
      <c r="Q67" s="254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2186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3.5968400000000003</v>
      </c>
      <c r="E75" s="660">
        <f>+'BALANCE-SHEET-2021-leva'!E75/1000+IF(+Rounding!$C$54=$B75,+Rounding!E$54,0)+IF(+Rounding!$C$55=$B75,+Rounding!E$55,0)</f>
        <v>62.721760000000003</v>
      </c>
      <c r="F75" s="154"/>
      <c r="G75" s="659">
        <f>+'BALANCE-SHEET-2021-leva'!G75/1000+IF(+Rounding!$G$54=$B75,+Rounding!H$54,0)+IF(+Rounding!$G$55=$B75,+Rounding!H$55,0)</f>
        <v>4339.2830899999999</v>
      </c>
      <c r="H75" s="660">
        <f>+'BALANCE-SHEET-2021-leva'!H75/1000+IF(+Rounding!$G$54=$B75,+Rounding!I$54,0)+IF(+Rounding!$G$55=$B75,+Rounding!I$55,0)</f>
        <v>4330.4268899999997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4342.8799300000001</v>
      </c>
      <c r="N75" s="660">
        <f>+E75+H75+K75+IF(+Rounding!$O$54=$B75,+Rounding!Q$54,0)+IF(+Rounding!$O$55=$B75,+Rounding!Q$55,0)</f>
        <v>4393.1486500000001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1965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26.557729999999999</v>
      </c>
      <c r="E78" s="674">
        <f>+'BALANCE-SHEET-2021-leva'!E78/1000+IF(+Rounding!$C$54=$B78,+Rounding!E$54,0)+IF(+Rounding!$C$55=$B78,+Rounding!E$55,0)</f>
        <v>13.21733</v>
      </c>
      <c r="F78" s="154"/>
      <c r="G78" s="673">
        <f>+'BALANCE-SHEET-2021-leva'!G78/1000+IF(+Rounding!$G$54=$B78,+Rounding!H$54,0)+IF(+Rounding!$G$55=$B78,+Rounding!H$55,0)</f>
        <v>1.5649600000000001</v>
      </c>
      <c r="H78" s="674">
        <f>+'BALANCE-SHEET-2021-leva'!H78/1000+IF(+Rounding!$G$54=$B78,+Rounding!I$54,0)+IF(+Rounding!$G$55=$B78,+Rounding!I$55,0)</f>
        <v>3.2783099999999998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28.122689999999999</v>
      </c>
      <c r="N78" s="674">
        <f>+E78+H78+K78+IF(+Rounding!$O$54=$B78,+Rounding!Q$54,0)+IF(+Rounding!$O$55=$B78,+Rounding!Q$55,0)-Q78</f>
        <v>16.495640000000002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10.00953</v>
      </c>
      <c r="E79" s="660">
        <f>+'BALANCE-SHEET-2021-leva'!E79/1000+IF(+Rounding!$C$54=$B79,+Rounding!E$54,0)+IF(+Rounding!$C$55=$B79,+Rounding!E$55,0)</f>
        <v>42.76558</v>
      </c>
      <c r="F79" s="154"/>
      <c r="G79" s="659">
        <f>+'BALANCE-SHEET-2021-leva'!G79/1000+IF(+Rounding!$G$54=$B79,+Rounding!H$54,0)+IF(+Rounding!$G$55=$B79,+Rounding!H$55,0)</f>
        <v>5.9893100000000006</v>
      </c>
      <c r="H79" s="660">
        <f>+'BALANCE-SHEET-2021-leva'!H79/1000+IF(+Rounding!$G$54=$B79,+Rounding!I$54,0)+IF(+Rounding!$G$55=$B79,+Rounding!I$55,0)</f>
        <v>19.39931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15.998840000000001</v>
      </c>
      <c r="N79" s="660">
        <f>+E79+H79+K79+IF(+Rounding!$O$54=$B79,+Rounding!Q$54,0)+IF(+Rounding!$O$55=$B79,+Rounding!Q$55,0)</f>
        <v>62.16489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22.348520000000001</v>
      </c>
      <c r="E80" s="660">
        <f>+'BALANCE-SHEET-2021-leva'!E80/1000+IF(+Rounding!$C$54=$B80,+Rounding!E$54,0)+IF(+Rounding!$C$55=$B80,+Rounding!E$55,0)</f>
        <v>102.55201</v>
      </c>
      <c r="F80" s="154"/>
      <c r="G80" s="659">
        <f>+'BALANCE-SHEET-2021-leva'!G80/1000+IF(+Rounding!$G$54=$B80,+Rounding!H$54,0)+IF(+Rounding!$G$55=$B80,+Rounding!H$55,0)</f>
        <v>13.144350000000001</v>
      </c>
      <c r="H80" s="660">
        <f>+'BALANCE-SHEET-2021-leva'!H80/1000+IF(+Rounding!$G$54=$B80,+Rounding!I$54,0)+IF(+Rounding!$G$55=$B80,+Rounding!I$55,0)</f>
        <v>48.299790000000002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35.492870000000003</v>
      </c>
      <c r="N80" s="660">
        <f>+E80+H80+K80+IF(+Rounding!$O$54=$B80,+Rounding!Q$54,0)+IF(+Rounding!$O$55=$B80,+Rounding!Q$55,0)</f>
        <v>150.8518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230</v>
      </c>
      <c r="E81" s="660">
        <f>+'BALANCE-SHEET-2021-leva'!E81/1000+IF(+Rounding!$C$54=$B81,+Rounding!E$54,0)+IF(+Rounding!$C$55=$B81,+Rounding!E$55,0)</f>
        <v>20</v>
      </c>
      <c r="F81" s="154"/>
      <c r="G81" s="659">
        <f>+'BALANCE-SHEET-2021-leva'!G81/1000+IF(+Rounding!$G$54=$B81,+Rounding!H$54,0)+IF(+Rounding!$G$55=$B81,+Rounding!H$55,0)</f>
        <v>395.01578000000001</v>
      </c>
      <c r="H81" s="660">
        <f>+'BALANCE-SHEET-2021-leva'!H81/1000+IF(+Rounding!$G$54=$B81,+Rounding!I$54,0)+IF(+Rounding!$G$55=$B81,+Rounding!I$55,0)</f>
        <v>76.497420000000005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625.01577999999995</v>
      </c>
      <c r="N81" s="660">
        <f>+E81+H81+K81+IF(+Rounding!$O$54=$B81,+Rounding!Q$54,0)+IF(+Rounding!$O$55=$B81,+Rounding!Q$55,0)-Q81</f>
        <v>96.497420000000005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109.60510000000001</v>
      </c>
      <c r="E82" s="662">
        <f>+'BALANCE-SHEET-2021-leva'!E82/1000+IF(+Rounding!$C$54=$B82,+Rounding!E$54,0)+IF(+Rounding!$C$55=$B82,+Rounding!E$55,0)</f>
        <v>155.97457999999997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619.77204000000006</v>
      </c>
      <c r="K82" s="662">
        <f>+'BALANCE-SHEET-2021-leva'!K82/1000+IF(+Rounding!$K$54=$B82,+Rounding!M$54,0)+IF(+Rounding!$K$55=$B82,+Rounding!M$55,0)</f>
        <v>613.06796999999995</v>
      </c>
      <c r="L82" s="154"/>
      <c r="M82" s="661">
        <f>+D82+G82+J82+IF(+Rounding!$O$54=$B82,+Rounding!P$54,0)+IF(+Rounding!$O$55=$B82,+Rounding!P$55,0)-P82</f>
        <v>729.37714000000005</v>
      </c>
      <c r="N82" s="662">
        <f>+E82+H82+K82+IF(+Rounding!$O$54=$B82,+Rounding!Q$54,0)+IF(+Rounding!$O$55=$B82,+Rounding!Q$55,0)-Q82</f>
        <v>769.04254999999989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402.11771999999996</v>
      </c>
      <c r="E83" s="676">
        <f>+SUM(E74:E82)</f>
        <v>397.23126000000002</v>
      </c>
      <c r="F83" s="154"/>
      <c r="G83" s="675">
        <f>+SUM(G74:G82)</f>
        <v>4754.9974899999988</v>
      </c>
      <c r="H83" s="676">
        <f>+SUM(H74:H82)</f>
        <v>4477.9017199999989</v>
      </c>
      <c r="I83" s="154"/>
      <c r="J83" s="675">
        <f>+SUM(J74:J82)</f>
        <v>619.77204000000006</v>
      </c>
      <c r="K83" s="676">
        <f>+SUM(K74:K82)</f>
        <v>613.06796999999995</v>
      </c>
      <c r="L83" s="154"/>
      <c r="M83" s="675">
        <f>+SUM(M74:M82)</f>
        <v>5776.8872499999998</v>
      </c>
      <c r="N83" s="676">
        <f>+SUM(N74:N82)</f>
        <v>5488.2009500000004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+'BALANCE-SHEET-2021-leva'!D85/1000+IF(+Rounding!$C$54=$B85,+Rounding!D$54,0)+IF(+Rounding!$C$55=$B85,+Rounding!D$55,0)</f>
        <v>8.9999999999999993E-3</v>
      </c>
      <c r="E85" s="660">
        <f>+'BALANCE-SHEET-2021-leva'!E85/1000+IF(+Rounding!$C$54=$B85,+Rounding!E$54,0)+IF(+Rounding!$C$55=$B85,+Rounding!E$55,0)</f>
        <v>262.76102000000003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8.9999999999999993E-3</v>
      </c>
      <c r="N85" s="660">
        <f>+E85+H85+K85+IF(+Rounding!$O$54=$B85,+Rounding!Q$54,0)+IF(+Rounding!$O$55=$B85,+Rounding!Q$55,0)</f>
        <v>262.76102000000003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8.4849999999999994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8.4849999999999994</v>
      </c>
      <c r="O86" s="303"/>
      <c r="P86" s="2542" t="str">
        <f>+'BALANCE-SHEET-2021-leva'!P86:Q86</f>
        <v>O K</v>
      </c>
      <c r="Q86" s="254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8.9999999999999993E-3</v>
      </c>
      <c r="E87" s="664">
        <f>+E85+E86</f>
        <v>271.24602000000004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8.9999999999999993E-3</v>
      </c>
      <c r="N87" s="664">
        <f>+N85+N86</f>
        <v>271.24602000000004</v>
      </c>
      <c r="O87" s="303"/>
      <c r="P87" s="2543" t="str">
        <f>+'BALANCE-SHEET-2021-leva'!P87:Q87</f>
        <v>O K</v>
      </c>
      <c r="Q87" s="254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402.12671999999998</v>
      </c>
      <c r="E89" s="678">
        <f>+E72+E83+E87</f>
        <v>668.47728000000006</v>
      </c>
      <c r="F89" s="154"/>
      <c r="G89" s="677">
        <f>+G72+G83+G87</f>
        <v>4754.9974899999988</v>
      </c>
      <c r="H89" s="678">
        <f>+H72+H83+H87</f>
        <v>4477.9017199999989</v>
      </c>
      <c r="I89" s="154"/>
      <c r="J89" s="677">
        <f>+J72+J83+J87</f>
        <v>619.77204000000006</v>
      </c>
      <c r="K89" s="678">
        <f>+K72+K83+K87</f>
        <v>613.06796999999995</v>
      </c>
      <c r="L89" s="154"/>
      <c r="M89" s="677">
        <f>+M72+M83+M87</f>
        <v>5776.8962499999998</v>
      </c>
      <c r="N89" s="678">
        <f>+N72+N83+N87</f>
        <v>5759.4469700000009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17348</v>
      </c>
      <c r="E91" s="2037">
        <f>ROUND(+E66+E89,0)</f>
        <v>16706</v>
      </c>
      <c r="F91" s="154"/>
      <c r="G91" s="2036">
        <f>ROUND(+G66+G89,0)</f>
        <v>2561</v>
      </c>
      <c r="H91" s="2037">
        <f>ROUND(+H66+H89,0)</f>
        <v>2656</v>
      </c>
      <c r="I91" s="154"/>
      <c r="J91" s="2036">
        <f>ROUND(+J66+J89,0)</f>
        <v>58302</v>
      </c>
      <c r="K91" s="2037">
        <f>ROUND(+K66+K89,0)</f>
        <v>58838</v>
      </c>
      <c r="L91" s="154"/>
      <c r="M91" s="2036">
        <f>ROUND(+M66+M89,0)</f>
        <v>78211</v>
      </c>
      <c r="N91" s="2037">
        <f>ROUND(+N66+N89,0)</f>
        <v>78200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+ROUND('BALANCE-SHEET-2021-leva'!D92/1000,0)+Rounding!D63</f>
        <v>4302</v>
      </c>
      <c r="E92" s="668">
        <f>+ROUND('BALANCE-SHEET-2021-leva'!E92/1000,0)+Rounding!E63</f>
        <v>1677</v>
      </c>
      <c r="F92" s="154"/>
      <c r="G92" s="667">
        <f>+ROUND('BALANCE-SHEET-2021-leva'!G92/1000,0)+Rounding!H63</f>
        <v>5228</v>
      </c>
      <c r="H92" s="668">
        <f>+ROUND('BALANCE-SHEET-2021-leva'!H92/1000,0)+Rounding!I63</f>
        <v>5457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9530</v>
      </c>
      <c r="N92" s="668">
        <f>+ROUND((E92+H92+K92),0)+Rounding!Q63</f>
        <v>7134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1993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1979</v>
      </c>
      <c r="C96" s="658"/>
      <c r="D96" s="2034">
        <f>+'TRIAL-BALANCE'!K10</f>
        <v>44314</v>
      </c>
      <c r="E96" s="2018" t="s">
        <v>1980</v>
      </c>
      <c r="F96" s="154"/>
      <c r="G96" s="657"/>
      <c r="H96" s="822"/>
      <c r="I96" s="822"/>
      <c r="J96" s="822"/>
      <c r="K96" s="2020" t="s">
        <v>1972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90" t="str">
        <f>+'BALANCE-SHEET-2021-leva'!H97:J97</f>
        <v>Стела Иванова</v>
      </c>
      <c r="I97" s="2590"/>
      <c r="J97" s="2590"/>
      <c r="K97" s="2015"/>
      <c r="L97" s="164"/>
      <c r="M97" s="2595" t="str">
        <f>+'BALANCE-SHEET-2021-leva'!M97</f>
        <v>Лъчезар Яков</v>
      </c>
      <c r="N97" s="2595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2148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95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ОБЩИНА ГУЛЯНЦИ</v>
      </c>
      <c r="B1" s="2547"/>
      <c r="C1" s="2547"/>
      <c r="D1" s="2548"/>
      <c r="E1" s="756" t="s">
        <v>791</v>
      </c>
      <c r="F1" s="743"/>
      <c r="G1" s="2544">
        <f>+'TRIAL-BALANCE'!C6</f>
        <v>413691</v>
      </c>
      <c r="H1" s="2545"/>
      <c r="I1" s="743"/>
      <c r="J1" s="755" t="s">
        <v>1211</v>
      </c>
      <c r="K1" s="978">
        <f>+'TRIAL-BALANCE'!C8</f>
        <v>6502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608">
        <f>+'BALANCE-SHEET-2021-leva'!E2</f>
        <v>0</v>
      </c>
      <c r="F2" s="2608"/>
      <c r="G2" s="2608"/>
      <c r="H2" s="2608"/>
      <c r="I2" s="743"/>
      <c r="J2" s="2596">
        <f>+'BALANCE-SHEET-2021-leva'!J2:K2</f>
        <v>0</v>
      </c>
      <c r="K2" s="2596"/>
      <c r="L2" s="743"/>
      <c r="M2" s="2596">
        <f>+'BALANCE-SHEET-2021-leva'!M2:N2</f>
        <v>0</v>
      </c>
      <c r="N2" s="259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 t="str">
        <f>+'TRIAL-BALANCE'!G4</f>
        <v>ГР. ГУЛЯНЦИ УЛ.ВАСИЛ ЛЕВСКИ 32</v>
      </c>
      <c r="B3" s="2550"/>
      <c r="C3" s="2550"/>
      <c r="D3" s="2551"/>
      <c r="E3" s="757" t="s">
        <v>1205</v>
      </c>
      <c r="F3" s="743"/>
      <c r="G3" s="2606">
        <f>+'TRIAL-BALANCE'!J8</f>
        <v>0</v>
      </c>
      <c r="H3" s="2607"/>
      <c r="I3" s="743"/>
      <c r="J3" s="755" t="s">
        <v>2106</v>
      </c>
      <c r="K3" s="2563">
        <f>+'TRIAL-BALANCE'!G6</f>
        <v>0</v>
      </c>
      <c r="L3" s="2564"/>
      <c r="M3" s="2564"/>
      <c r="N3" s="256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615" t="str">
        <f>+A1</f>
        <v>ОБЩИНА ГУЛЯНЦИ</v>
      </c>
      <c r="C5" s="2615"/>
      <c r="D5" s="2615"/>
      <c r="E5" s="2615"/>
      <c r="F5" s="2615"/>
      <c r="G5" s="2615"/>
      <c r="H5" s="1260" t="s">
        <v>1004</v>
      </c>
      <c r="I5" s="758"/>
      <c r="J5" s="2611" t="str">
        <f>+'TRIAL-BALANCE'!H12</f>
        <v>31 март 2021 г.</v>
      </c>
      <c r="K5" s="2611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12" t="s">
        <v>2181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613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14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749"/>
      <c r="D13" s="700">
        <f>+ROUND(+SUM('TRIAL-BALANCE'!T602:T605)-SUM('TRIAL-BALANCE'!S602:S605),2)</f>
        <v>190080.03</v>
      </c>
      <c r="E13" s="694">
        <f>+ROUND(+SUM('R &amp; E data-2020'!P235:P238)-SUM('R &amp; E data-2020'!O235:O238),2)</f>
        <v>636624.43999999994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190080.03</v>
      </c>
      <c r="N13" s="694">
        <f t="shared" ref="N13:N20" si="1">+ROUND(+E13+H13+K13,2)</f>
        <v>636624.43999999994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749"/>
      <c r="D14" s="700">
        <f>+ROUND(+SUM('TRIAL-BALANCE'!T606:T611)-SUM('TRIAL-BALANCE'!S606:S611),2)</f>
        <v>160836.24</v>
      </c>
      <c r="E14" s="694">
        <f>+ROUND(+SUM('R &amp; E data-2020'!P239:P244)-SUM('R &amp; E data-2020'!O239:O244),2)</f>
        <v>623968.72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160836.24</v>
      </c>
      <c r="N14" s="694">
        <f t="shared" si="1"/>
        <v>623968.72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7635.77</v>
      </c>
      <c r="E15" s="694">
        <f>+ROUND(+'R &amp; E data-2020'!P245-'R &amp; E data-2020'!O245,2)</f>
        <v>210984.31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7635.77</v>
      </c>
      <c r="N15" s="694">
        <f t="shared" si="1"/>
        <v>210984.31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76</v>
      </c>
      <c r="E16" s="694">
        <f>+ROUND(+'R &amp; E data-2020'!P246+'R &amp; E data-2020'!P292-'R &amp; E data-2020'!O246-'R &amp; E data-2020'!O292,2)</f>
        <v>786.73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76</v>
      </c>
      <c r="N16" s="694">
        <f t="shared" si="1"/>
        <v>786.73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109492.24</v>
      </c>
      <c r="E17" s="694">
        <f>+ROUND(+SUM('R &amp; E data-2020'!P252:P254)+'R &amp; E data-2020'!P284-SUM('R &amp; E data-2020'!O252:O254)-'R &amp; E data-2020'!O284,2)</f>
        <v>727941.64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109492.24</v>
      </c>
      <c r="N17" s="694">
        <f t="shared" si="1"/>
        <v>727941.64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8117.91</v>
      </c>
      <c r="E19" s="694">
        <f>+ROUND(+SUM('R &amp; E data-2020'!P293:P324)-SUM('R &amp; E data-2020'!O293:O324),2)</f>
        <v>35895.79</v>
      </c>
      <c r="F19" s="749"/>
      <c r="G19" s="700">
        <f>+ROUND(+SUM('TRIAL-BALANCE'!AA660:AA691)-SUM('TRIAL-BALANCE'!Z660:Z691),2)</f>
        <v>1.1200000000000001</v>
      </c>
      <c r="H19" s="694">
        <f>+ROUND(+SUM('R &amp; E data-2020'!S293:S324)-SUM('R &amp; E data-2020'!R293:R324),2)</f>
        <v>21.94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8119.03</v>
      </c>
      <c r="N19" s="694">
        <f t="shared" si="1"/>
        <v>35917.730000000003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-1139.17</v>
      </c>
      <c r="E20" s="694">
        <f>+ROUND(+SUM('R &amp; E data-2020'!P273:P282)-SUM('R &amp; E data-2020'!O273:O282),2)-(ROUND('R &amp; E data-2020'!P281,2)-ROUND('R &amp; E data-2020'!O281,2))</f>
        <v>105529.04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-1139.17</v>
      </c>
      <c r="N20" s="694">
        <f t="shared" si="1"/>
        <v>105529.04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911</v>
      </c>
      <c r="E21" s="695">
        <f>+ROUND(+SUM('R &amp; E data-2020'!P285:P286)+SUM('R &amp; E data-2020'!P290:P291)-SUM('R &amp; E data-2020'!O285:O286)-SUM('R &amp; E data-2020'!O290:O291),2)</f>
        <v>177704.95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911</v>
      </c>
      <c r="N21" s="1941">
        <f>+ROUND(+E21+H21+K21,2)</f>
        <v>177704.95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476010.02</v>
      </c>
      <c r="E22" s="693">
        <f>+ROUND(+SUM(E13:E21),2)</f>
        <v>2519435.62</v>
      </c>
      <c r="F22" s="749"/>
      <c r="G22" s="702">
        <f>+ROUND(+SUM(G13:G21),2)</f>
        <v>1.1200000000000001</v>
      </c>
      <c r="H22" s="693">
        <f>+ROUND(+SUM(H13:H21),2)</f>
        <v>21.94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476011.14</v>
      </c>
      <c r="N22" s="693">
        <f>+ROUND(+SUM(N13:N21),2)</f>
        <v>2519457.56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4578.0600000000004</v>
      </c>
      <c r="E24" s="694">
        <f>+ROUND(+SUM('R &amp; E data-2020'!P247:P251)+SUM('R &amp; E data-2020'!P268:P269)-SUM('R &amp; E data-2020'!O247:O251)-SUM('R &amp; E data-2020'!O268:O269),2)</f>
        <v>22202.62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4578.0600000000004</v>
      </c>
      <c r="N24" s="694">
        <f t="shared" si="3"/>
        <v>22202.62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5000</v>
      </c>
      <c r="E25" s="694">
        <f>+ROUND(+SUM('R &amp; E data-2020'!P256:P267)-SUM('R &amp; E data-2020'!O256:O267),2)</f>
        <v>352288.71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5000</v>
      </c>
      <c r="N25" s="694">
        <f t="shared" si="3"/>
        <v>352288.71</v>
      </c>
      <c r="O25" s="152"/>
      <c r="P25" s="1667" t="s">
        <v>1869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9578.06</v>
      </c>
      <c r="E27" s="693">
        <f>+ROUND(+SUM(E24:E26),2)</f>
        <v>374491.33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9578.06</v>
      </c>
      <c r="N27" s="693">
        <f>+ROUND(+SUM(N24:N26),2)</f>
        <v>374491.33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-21007.72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-211.99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-21007.72</v>
      </c>
      <c r="N29" s="693">
        <f>+ROUND(+E29+H29+K29,2)+ROUND(Q29,2)</f>
        <v>-211.99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-21007.72</v>
      </c>
      <c r="E30" s="1891">
        <f>+ROUND(+'R &amp; E data-2020'!P287-'R &amp; E data-2020'!O287,2)</f>
        <v>-211.99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-21007.72</v>
      </c>
      <c r="N30" s="1891">
        <f>+ROUND(+E30+H30+K30,2)</f>
        <v>-211.99</v>
      </c>
      <c r="O30" s="152"/>
      <c r="P30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4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8">
        <f>+IF(P30="O K",0,"N o ")</f>
        <v>0</v>
      </c>
      <c r="Q31" s="2598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7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2091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14490.22</v>
      </c>
      <c r="E37" s="695">
        <f>+ROUND(+SUM('R &amp; E data-2020'!P339:P340)+SUM('R &amp; E data-2020'!P349:P353)-SUM('R &amp; E data-2020'!O339:O340)-SUM('R &amp; E data-2020'!O349:O353),2)+ROUND(+'R &amp; E data-2020'!P424,2)</f>
        <v>21896.26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14490.22</v>
      </c>
      <c r="N37" s="695">
        <f t="shared" si="4"/>
        <v>21896.26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14490.22</v>
      </c>
      <c r="E38" s="693">
        <f>+ROUND(+SUM(E34:E37),2)</f>
        <v>21896.26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14490.22</v>
      </c>
      <c r="N38" s="693">
        <f>+ROUND(+SUM(N34:N37),2)</f>
        <v>21896.26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479070.58</v>
      </c>
      <c r="E40" s="712">
        <f>+ROUND(+E22+E27+E29+E32+E38,2)</f>
        <v>2915611.22</v>
      </c>
      <c r="F40" s="749"/>
      <c r="G40" s="711">
        <f>+ROUND(+G22+G27+G29+G32+G38,2)</f>
        <v>1.1200000000000001</v>
      </c>
      <c r="H40" s="712">
        <f>+ROUND(+H22+H27+H29+H32+H38,2)</f>
        <v>21.94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479071.7</v>
      </c>
      <c r="N40" s="712">
        <f>+ROUND(+N22+N27+N29+N32+N38,2)</f>
        <v>2915633.16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279071.49</v>
      </c>
      <c r="E43" s="694">
        <f>+ROUND(+SUM('R &amp; E data-2020'!O17:O26)-SUM('R &amp; E data-2020'!P17:P26),2)</f>
        <v>1341261.03</v>
      </c>
      <c r="F43" s="749"/>
      <c r="G43" s="700">
        <f>+ROUND(+SUM('TRIAL-BALANCE'!Z384:Z393)-SUM('TRIAL-BALANCE'!AA384:AA393),2)</f>
        <v>52693.87</v>
      </c>
      <c r="H43" s="694">
        <f>+ROUND(+SUM('R &amp; E data-2020'!R17:R26)-SUM('R &amp; E data-2020'!S17:S26),2)</f>
        <v>99242.94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331765.36</v>
      </c>
      <c r="N43" s="694">
        <f t="shared" ref="N43:N50" si="6">+ROUND(+E43+H43+K43,2)</f>
        <v>1440503.97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124976.43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878601.36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13451.7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118635.71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138428.13</v>
      </c>
      <c r="N44" s="694">
        <f t="shared" si="6"/>
        <v>997237.07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179626.33</v>
      </c>
      <c r="E45" s="694">
        <f>+ROUND(+SUM('R &amp; E data-2020'!O35:O42)-SUM('R &amp; E data-2020'!P35:P42),2)</f>
        <v>704533.18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542391.56999999995</v>
      </c>
      <c r="K45" s="694">
        <f>+ROUND(+SUM('R &amp; E data-2020'!U35:U42)-SUM('R &amp; E data-2020'!V35:V42),2)</f>
        <v>1683733.67</v>
      </c>
      <c r="L45" s="749"/>
      <c r="M45" s="700">
        <f t="shared" si="5"/>
        <v>722017.9</v>
      </c>
      <c r="N45" s="694">
        <f t="shared" si="6"/>
        <v>2388266.85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1006575.83</v>
      </c>
      <c r="E46" s="694">
        <f>+ROUND(+SUM('R &amp; E data-2020'!O43:O50)-SUM('R &amp; E data-2020'!P43:P50),2)</f>
        <v>6228863.6200000001</v>
      </c>
      <c r="F46" s="749"/>
      <c r="G46" s="700">
        <f>+ROUND(+SUM('TRIAL-BALANCE'!Z410:Z417)-SUM('TRIAL-BALANCE'!AA410:AA417),2)</f>
        <v>99734.12</v>
      </c>
      <c r="H46" s="694">
        <f>+ROUND(+SUM('R &amp; E data-2020'!R43:R50)-SUM('R &amp; E data-2020'!S43:S50),2)</f>
        <v>668707.98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1106309.95</v>
      </c>
      <c r="N46" s="694">
        <f t="shared" si="6"/>
        <v>6897571.5999999996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259562.36</v>
      </c>
      <c r="E47" s="694">
        <f>+ROUND(+SUM('R &amp; E data-2020'!O51:O57)-SUM('R &amp; E data-2020'!P51:P57),2)</f>
        <v>1240088.25</v>
      </c>
      <c r="F47" s="749"/>
      <c r="G47" s="700">
        <f>+ROUND(+SUM('TRIAL-BALANCE'!Z418:Z424)-SUM('TRIAL-BALANCE'!AA418:AA424),2)</f>
        <v>20562.09</v>
      </c>
      <c r="H47" s="694">
        <f>+ROUND(+SUM('R &amp; E data-2020'!R51:R57)-SUM('R &amp; E data-2020'!S51:S57),2)</f>
        <v>134828.31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280124.45</v>
      </c>
      <c r="N47" s="694">
        <f t="shared" si="6"/>
        <v>1374916.56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10902.14</v>
      </c>
      <c r="E48" s="694">
        <f>+ROUND(+SUM('R &amp; E data-2020'!O58:O65)-SUM('R &amp; E data-2020'!P58:P65),2)</f>
        <v>33218.75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10902.14</v>
      </c>
      <c r="N48" s="694">
        <f>+ROUND(+E48+H48+K48,2)+ROUND(Q48,2)</f>
        <v>33218.75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2622.5</v>
      </c>
      <c r="E49" s="694">
        <f>+ROUND(+SUM('R &amp; E data-2020'!O83:O84)-SUM('R &amp; E data-2020'!P83:P84),2)</f>
        <v>13886.84</v>
      </c>
      <c r="F49" s="749"/>
      <c r="G49" s="700">
        <f>+ROUND(+SUM('TRIAL-BALANCE'!Z450:Z451)-SUM('TRIAL-BALANCE'!AA450:AA451),2)</f>
        <v>392</v>
      </c>
      <c r="H49" s="694">
        <f>+ROUND(+SUM('R &amp; E data-2020'!R83:R84)-SUM('R &amp; E data-2020'!S83:S84),2)</f>
        <v>3462.6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3014.5</v>
      </c>
      <c r="N49" s="694">
        <f t="shared" si="6"/>
        <v>17349.439999999999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10023.92</v>
      </c>
      <c r="E50" s="694">
        <f>+ROUND(+SUM('R &amp; E data-2020'!O111:O114)-SUM('R &amp; E data-2020'!P111:P114),2)</f>
        <v>76603.56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10023.92</v>
      </c>
      <c r="N50" s="694">
        <f t="shared" si="6"/>
        <v>76603.56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59284.31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197409.57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59284.31</v>
      </c>
      <c r="N51" s="1944">
        <f>+ROUND(+E51+H51+K51,2)</f>
        <v>197409.57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-208967.15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-208967.15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1932645.31</v>
      </c>
      <c r="E53" s="698">
        <f>+ROUND(+SUM(E43:E52),2)</f>
        <v>10505499.01</v>
      </c>
      <c r="F53" s="749"/>
      <c r="G53" s="705">
        <f>+ROUND(+SUM(G43:G52),2)</f>
        <v>186833.78</v>
      </c>
      <c r="H53" s="698">
        <f>+ROUND(+SUM(H43:H52),2)</f>
        <v>1024877.54</v>
      </c>
      <c r="I53" s="749"/>
      <c r="J53" s="705">
        <f>+ROUND(+SUM(J43:J52),2)</f>
        <v>542391.56999999995</v>
      </c>
      <c r="K53" s="698">
        <f>+ROUND(+SUM(K43:K52),2)</f>
        <v>1683733.67</v>
      </c>
      <c r="L53" s="749"/>
      <c r="M53" s="705">
        <f>+ROUND(+SUM(M43:M52),2)</f>
        <v>2661870.66</v>
      </c>
      <c r="N53" s="698">
        <f>+ROUND(+SUM(N43:N52),2)</f>
        <v>13214110.220000001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2172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4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4081.8</v>
      </c>
      <c r="E55" s="694">
        <f>+ROUND(+SUM('R &amp; E data-2020'!O89:O93)+SUM('R &amp; E data-2020'!O106:O107)-SUM('R &amp; E data-2020'!P89:P93)-SUM('R &amp; E data-2020'!P106:P107),2)</f>
        <v>13844.05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4081.8</v>
      </c>
      <c r="N55" s="694">
        <f t="shared" si="8"/>
        <v>13844.05</v>
      </c>
      <c r="O55" s="152"/>
      <c r="P55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7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155914.79999999999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155914.79999999999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4081.8</v>
      </c>
      <c r="E58" s="698">
        <f>+ROUND(+SUM(E55:E57),2)</f>
        <v>169758.85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4081.8</v>
      </c>
      <c r="N58" s="698">
        <f>+ROUND(+SUM(N55:N57),2)</f>
        <v>169758.85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8976.5</v>
      </c>
      <c r="E64" s="694">
        <f>+ROUND(+SUM('R &amp; E data-2020'!O142:O149)+SUM('R &amp; E data-2020'!O154:O155)-SUM('R &amp; E data-2020'!P142:P149)-SUM('R &amp; E data-2020'!P154:P155),2)</f>
        <v>51719.09</v>
      </c>
      <c r="F64" s="749"/>
      <c r="G64" s="700">
        <f>+ROUND(+SUM('TRIAL-BALANCE'!Z509:Z516)+SUM('TRIAL-BALANCE'!Z521:Z522)-SUM('TRIAL-BALANCE'!AA509:AA516)-SUM('TRIAL-BALANCE'!AA521:AA522),2)</f>
        <v>1185.3499999999999</v>
      </c>
      <c r="H64" s="694">
        <f>+ROUND(+SUM('R &amp; E data-2020'!R142:R149)+SUM('R &amp; E data-2020'!R154:R155)-SUM('R &amp; E data-2020'!S142:S149)-SUM('R &amp; E data-2020'!S154:S155),2)</f>
        <v>8167.05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10161.85</v>
      </c>
      <c r="N64" s="694">
        <f>+ROUND(+E64+H64+K64,2)</f>
        <v>59886.14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8976.5</v>
      </c>
      <c r="E66" s="698">
        <f>+ROUND(+SUM(E64:E65),2)</f>
        <v>51719.09</v>
      </c>
      <c r="F66" s="749"/>
      <c r="G66" s="705">
        <f>+ROUND(+SUM(G64:G65),2)</f>
        <v>1185.3499999999999</v>
      </c>
      <c r="H66" s="698">
        <f>+ROUND(+SUM(H64:H65),2)</f>
        <v>8167.05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10161.85</v>
      </c>
      <c r="N66" s="698">
        <f>+ROUND(+SUM(N64:N65),2)</f>
        <v>59886.14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116449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263478.26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8000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209991.14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124449</v>
      </c>
      <c r="N68" s="694">
        <f>+ROUND(+E68+H68+K68,2)</f>
        <v>473469.4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64022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64022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116449</v>
      </c>
      <c r="E70" s="698">
        <f>+ROUND(+SUM(E68:E69),2)</f>
        <v>327500.26</v>
      </c>
      <c r="F70" s="749"/>
      <c r="G70" s="705">
        <f>+ROUND(+SUM(G68:G69),2)</f>
        <v>8000</v>
      </c>
      <c r="H70" s="698">
        <f>+ROUND(+SUM(H68:H69),2)</f>
        <v>209991.14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124449</v>
      </c>
      <c r="N70" s="698">
        <f>+ROUND(+SUM(N68:N69),2)</f>
        <v>537491.4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372606.31</v>
      </c>
      <c r="E72" s="698">
        <f>+ROUND(+SUM('R &amp; E data-2020'!O70:O74)-SUM('R &amp; E data-2020'!P70:P74),2)</f>
        <v>5000</v>
      </c>
      <c r="F72" s="749"/>
      <c r="G72" s="705">
        <f>+ROUND(+SUM('TRIAL-BALANCE'!Z437:Z441)-SUM('TRIAL-BALANCE'!AA437:AA441),2)</f>
        <v>292577.62</v>
      </c>
      <c r="H72" s="698">
        <f>+ROUND(+SUM('R &amp; E data-2020'!R70:R74)-SUM('R &amp; E data-2020'!S70:S74),2)</f>
        <v>6552085.2800000003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-6557085.2800000003</v>
      </c>
      <c r="L72" s="749"/>
      <c r="M72" s="705">
        <f>+ROUND(+D72+G72+J72,2)</f>
        <v>665183.93000000005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4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8">
        <f>+IF(P75="O K",0,"N o ")</f>
        <v>0</v>
      </c>
      <c r="Q76" s="2598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2434758.92</v>
      </c>
      <c r="E77" s="719">
        <f>+ROUND(+E53+E58+E62+E66+E70+E72+E74,2)</f>
        <v>11059477.210000001</v>
      </c>
      <c r="F77" s="749"/>
      <c r="G77" s="718">
        <f>+ROUND(+G53+G58+G62+G66+G70+G72+G74,2)</f>
        <v>488596.75</v>
      </c>
      <c r="H77" s="719">
        <f>+ROUND(+H53+H58+H62+H66+H70+H72+H74,2)</f>
        <v>7795121.0099999998</v>
      </c>
      <c r="I77" s="749"/>
      <c r="J77" s="718">
        <f>+ROUND(+J53+J58+J62+J66+J70+J72+J74,2)</f>
        <v>542391.56999999995</v>
      </c>
      <c r="K77" s="719">
        <f>+ROUND(+K53+K58+K62+K66+K70+K72+K74,2)</f>
        <v>-4873351.6100000003</v>
      </c>
      <c r="L77" s="749"/>
      <c r="M77" s="718">
        <f>+ROUND(+M53+M58+M62+M66+M70+M72+M74,2)</f>
        <v>3465747.24</v>
      </c>
      <c r="N77" s="719">
        <f>+ROUND(+N53+N58+N62+N66+N70+N72+N74,2)</f>
        <v>13981246.609999999</v>
      </c>
      <c r="O77" s="152"/>
      <c r="P77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7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2863848.47</v>
      </c>
      <c r="E79" s="694">
        <f>+ROUND(+SUM('R &amp; E data-2020'!P372:P391)-SUM('R &amp; E data-2020'!O372:O391),2)</f>
        <v>9809736.3800000008</v>
      </c>
      <c r="F79" s="749"/>
      <c r="G79" s="700">
        <f>+ROUND(+SUM('TRIAL-BALANCE'!AA739:AA758)-SUM('TRIAL-BALANCE'!Z739:Z758),2)</f>
        <v>116732.52</v>
      </c>
      <c r="H79" s="694">
        <f>+ROUND(+SUM('R &amp; E data-2020'!S372:S391)-SUM('R &amp; E data-2020'!R372:R391),2)</f>
        <v>1961952.75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2980580.99</v>
      </c>
      <c r="N79" s="694">
        <f>+ROUND(+E79+H79+K79,2)</f>
        <v>11771689.130000001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-14380.86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-14380.86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2863848.47</v>
      </c>
      <c r="E81" s="716">
        <f>+ROUND(+SUM(E79:E80),2)</f>
        <v>9795355.5199999996</v>
      </c>
      <c r="F81" s="749"/>
      <c r="G81" s="715">
        <f>+ROUND(+SUM(G79:G80),2)</f>
        <v>116732.52</v>
      </c>
      <c r="H81" s="716">
        <f>+ROUND(+SUM(H79:H80),2)</f>
        <v>1961952.75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2980580.99</v>
      </c>
      <c r="N81" s="716">
        <f>+ROUND(+SUM(N79:N80),2)</f>
        <v>11757308.27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226567.23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-47878.83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-155914.79999999999</v>
      </c>
      <c r="L88" s="749"/>
      <c r="M88" s="700">
        <f>+ROUND(+D88+G88+J88,2)</f>
        <v>0</v>
      </c>
      <c r="N88" s="694">
        <f>+ROUND(+E88+H88+K88,2)</f>
        <v>22773.599999999999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0</v>
      </c>
      <c r="E90" s="737">
        <f>+ROUND(+SUM(E88:E89),2)</f>
        <v>226567.23</v>
      </c>
      <c r="F90" s="749"/>
      <c r="G90" s="736">
        <f>+ROUND(+SUM(G88:G89),2)</f>
        <v>0</v>
      </c>
      <c r="H90" s="737">
        <f>+ROUND(+SUM(H88:H89),2)</f>
        <v>-47878.83</v>
      </c>
      <c r="I90" s="749"/>
      <c r="J90" s="736">
        <f>+ROUND(+SUM(J88:J89),2)</f>
        <v>0</v>
      </c>
      <c r="K90" s="737">
        <f>+ROUND(+SUM(K88:K89),2)</f>
        <v>-155914.79999999999</v>
      </c>
      <c r="L90" s="749"/>
      <c r="M90" s="736">
        <f>+ROUND(+SUM(M88:M89),2)</f>
        <v>0</v>
      </c>
      <c r="N90" s="737">
        <f>+ROUND(+SUM(N88:N89),2)</f>
        <v>22773.599999999999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-21610.94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-21610.94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-21610.94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-21610.94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6037.29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100622.9</v>
      </c>
      <c r="L99" s="749"/>
      <c r="M99" s="700">
        <f t="shared" si="10"/>
        <v>0</v>
      </c>
      <c r="N99" s="694">
        <f t="shared" si="10"/>
        <v>106660.19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126284.44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126284.44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44232.19</v>
      </c>
      <c r="L101" s="749"/>
      <c r="M101" s="701">
        <f t="shared" si="10"/>
        <v>0</v>
      </c>
      <c r="N101" s="695">
        <f t="shared" si="10"/>
        <v>44232.19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132321.73000000001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144855.09</v>
      </c>
      <c r="L102" s="749"/>
      <c r="M102" s="736">
        <f>+ROUND(+SUM(M97:M101),2)</f>
        <v>0</v>
      </c>
      <c r="N102" s="737">
        <f>+ROUND(+SUM(N97:N101),2)</f>
        <v>277176.82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40.119999999999997</v>
      </c>
      <c r="E106" s="694">
        <f>+ROUND(+SUM('R &amp; E data-2020'!O227:O228)-SUM('R &amp; E data-2020'!P227:P228),2)</f>
        <v>9479.81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40.119999999999997</v>
      </c>
      <c r="N106" s="694">
        <f t="shared" si="11"/>
        <v>9479.81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40.119999999999997</v>
      </c>
      <c r="E109" s="737">
        <f>+ROUND(+SUM(E104:E108),2)</f>
        <v>9479.81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40.119999999999997</v>
      </c>
      <c r="N109" s="737">
        <f>+ROUND(+SUM(N104:N108),2)</f>
        <v>9479.81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-40.119999999999997</v>
      </c>
      <c r="E111" s="741">
        <f>+E90+E95+E102-E109</f>
        <v>327798.21000000002</v>
      </c>
      <c r="F111" s="749"/>
      <c r="G111" s="740">
        <f>+G90+G95+G102-G109</f>
        <v>0</v>
      </c>
      <c r="H111" s="741">
        <f>+H90+H95+H102-H109</f>
        <v>-47878.83</v>
      </c>
      <c r="I111" s="749"/>
      <c r="J111" s="740">
        <f>+J90+J95+J102-J109</f>
        <v>0</v>
      </c>
      <c r="K111" s="741">
        <f>+K90+K95+K102-K109</f>
        <v>-11059.709999999992</v>
      </c>
      <c r="L111" s="749"/>
      <c r="M111" s="740">
        <f>+M90+M95+M102-M109</f>
        <v>-40.119999999999997</v>
      </c>
      <c r="N111" s="741">
        <f>+N90+N95+N102-N109</f>
        <v>268859.67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908120.01</v>
      </c>
      <c r="E113" s="699">
        <f>+ROUND(+E40+E81+E85+E111-E77,2)</f>
        <v>1979287.74</v>
      </c>
      <c r="F113" s="749"/>
      <c r="G113" s="706">
        <f>+ROUND(+G40+G81+G85+G111-G77,2)</f>
        <v>-371863.11</v>
      </c>
      <c r="H113" s="699">
        <f>+ROUND(+H40+H81+H85+H111-H77,2)</f>
        <v>-5881025.1500000004</v>
      </c>
      <c r="I113" s="749"/>
      <c r="J113" s="706">
        <f>+ROUND(+J40+J81+J85+J111-J77,2)</f>
        <v>-542391.56999999995</v>
      </c>
      <c r="K113" s="699">
        <f>+ROUND(+K40+K81+K85+K111-K77,2)</f>
        <v>4862291.9000000004</v>
      </c>
      <c r="L113" s="749"/>
      <c r="M113" s="706">
        <f>+ROUND(+M40+M81+M85+M111-M77,2)</f>
        <v>-6134.67</v>
      </c>
      <c r="N113" s="699">
        <f>+ROUND(+N40+N81+N85+N111-N77,2)</f>
        <v>960554.49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4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4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44314</v>
      </c>
      <c r="E115" s="2017" t="s">
        <v>1975</v>
      </c>
      <c r="F115" s="749"/>
      <c r="G115" s="763"/>
      <c r="H115" s="767"/>
      <c r="I115" s="767"/>
      <c r="J115" s="767"/>
      <c r="K115" s="2016" t="s">
        <v>1973</v>
      </c>
      <c r="L115" s="749"/>
      <c r="M115" s="768"/>
      <c r="N115" s="769"/>
      <c r="O115" s="152"/>
      <c r="P115" s="2597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7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10" t="str">
        <f>+'BALANCE-SHEET-2021-leva'!H97:J97</f>
        <v>Стела Иванова</v>
      </c>
      <c r="I116" s="2610"/>
      <c r="J116" s="2610"/>
      <c r="K116" s="763"/>
      <c r="L116" s="749"/>
      <c r="M116" s="2609" t="str">
        <f>+'BALANCE-SHEET-2021-leva'!M97:N97</f>
        <v>Лъчезар Яков</v>
      </c>
      <c r="N116" s="2609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98" activePane="bottomRight" state="frozen"/>
      <selection pane="topRight" activeCell="D1" sqref="D1"/>
      <selection pane="bottomLeft" activeCell="A11" sqref="A11"/>
      <selection pane="bottomRight" activeCell="A128" sqref="A128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17" t="str">
        <f>+'TRIAL-BALANCE'!E2</f>
        <v>ОБЩИНА ГУЛЯНЦИ</v>
      </c>
      <c r="B1" s="2618"/>
      <c r="C1" s="2618"/>
      <c r="D1" s="2619"/>
      <c r="E1" s="800" t="s">
        <v>1087</v>
      </c>
      <c r="F1" s="801"/>
      <c r="G1" s="2620">
        <f>+'TRIAL-BALANCE'!C6</f>
        <v>413691</v>
      </c>
      <c r="H1" s="2621"/>
      <c r="I1" s="801"/>
      <c r="J1" s="802" t="s">
        <v>1088</v>
      </c>
      <c r="K1" s="1264">
        <f>+'TRIAL-BALANCE'!C8</f>
        <v>6502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3" t="str">
        <f>+'BALANCE-SHEET-2021'!A2:D2</f>
        <v>(бюджетна организация, предприятие по чл. 165, ал. 1 от ЗПФ, поделение)</v>
      </c>
      <c r="B2" s="2604"/>
      <c r="C2" s="2604"/>
      <c r="D2" s="2605"/>
      <c r="E2" s="2586">
        <f>+'BALANCE-SHEET-2021-leva'!E2</f>
        <v>0</v>
      </c>
      <c r="F2" s="2586"/>
      <c r="G2" s="2586"/>
      <c r="H2" s="2586"/>
      <c r="I2" s="801"/>
      <c r="J2" s="2589">
        <f>+'BALANCE-SHEET-2021-leva'!J2:K2</f>
        <v>0</v>
      </c>
      <c r="K2" s="2589"/>
      <c r="L2" s="801"/>
      <c r="M2" s="2589">
        <f>+'BALANCE-SHEET-2021-leva'!M2:N2</f>
        <v>0</v>
      </c>
      <c r="N2" s="2589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06" t="str">
        <f>+'TRIAL-BALANCE'!G4</f>
        <v>ГР. ГУЛЯНЦИ УЛ.ВАСИЛ ЛЕВСКИ 32</v>
      </c>
      <c r="B3" s="2507"/>
      <c r="C3" s="2507"/>
      <c r="D3" s="2508"/>
      <c r="E3" s="804" t="s">
        <v>1205</v>
      </c>
      <c r="F3" s="803"/>
      <c r="G3" s="2622">
        <f>+'TRIAL-BALANCE'!J8</f>
        <v>0</v>
      </c>
      <c r="H3" s="2623"/>
      <c r="I3" s="801"/>
      <c r="J3" s="2213" t="s">
        <v>2107</v>
      </c>
      <c r="K3" s="2490">
        <f>+'TRIAL-BALANCE'!J8</f>
        <v>0</v>
      </c>
      <c r="L3" s="2491"/>
      <c r="M3" s="2491"/>
      <c r="N3" s="249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24" t="str">
        <f>+A1</f>
        <v>ОБЩИНА ГУЛЯНЦИ</v>
      </c>
      <c r="C5" s="2624"/>
      <c r="D5" s="2624"/>
      <c r="E5" s="2624"/>
      <c r="F5" s="2624"/>
      <c r="G5" s="2624"/>
      <c r="H5" s="808" t="s">
        <v>1004</v>
      </c>
      <c r="I5" s="809"/>
      <c r="J5" s="1265" t="str">
        <f>+'TRIAL-BALANCE'!H12</f>
        <v>31 март 2021 г.</v>
      </c>
      <c r="K5" s="519"/>
      <c r="L5" s="810"/>
      <c r="M5" s="811" t="str">
        <f>+'TRIAL-BALANCE'!C10</f>
        <v>/с б о р е н/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12" t="s">
        <v>2181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613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614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1995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190.08002999999999</v>
      </c>
      <c r="E13" s="775">
        <f>+'Income-2021-leva'!E13/1000+IF(+Rounding!$C$131=$B13,+Rounding!E$131,0)+IF(+Rounding!$C$132=$B13,+Rounding!E$132,0)+IF(+Rounding!$C$133=$B13,+Rounding!E$133,0)</f>
        <v>636.62443999999994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190.08002999999999</v>
      </c>
      <c r="N13" s="775">
        <f>++E13+H13+K13+IF(+Rounding!$O$131=$B13,+Rounding!Q$131,0)+IF(+Rounding!$O$132=$B13,+Rounding!Q$132,0)+IF(+Rounding!$O$133=$B13,+Rounding!Q$133,0)</f>
        <v>636.62443999999994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2147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160.83624</v>
      </c>
      <c r="E14" s="775">
        <f>+'Income-2021-leva'!E14/1000+IF(+Rounding!$C$131=$B14,+Rounding!E$131,0)+IF(+Rounding!$C$132=$B14,+Rounding!E$132,0)+IF(+Rounding!$C$133=$B14,+Rounding!E$133,0)</f>
        <v>623.96871999999996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160.83624</v>
      </c>
      <c r="N14" s="775">
        <f>++E14+H14+K14+IF(+Rounding!$O$131=$B14,+Rounding!Q$131,0)+IF(+Rounding!$O$132=$B14,+Rounding!Q$132,0)+IF(+Rounding!$O$133=$B14,+Rounding!Q$133,0)</f>
        <v>623.96871999999996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7.6357700000000008</v>
      </c>
      <c r="E15" s="775">
        <f>+'Income-2021-leva'!E15/1000+IF(+Rounding!$C$131=$B15,+Rounding!E$131,0)+IF(+Rounding!$C$132=$B15,+Rounding!E$132,0)+IF(+Rounding!$C$133=$B15,+Rounding!E$133,0)</f>
        <v>210.98430999999999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7.6357700000000008</v>
      </c>
      <c r="N15" s="775">
        <f>++E15+H15+K15+IF(+Rounding!$O$131=$B15,+Rounding!Q$131,0)+IF(+Rounding!$O$132=$B15,+Rounding!Q$132,0)+IF(+Rounding!$O$133=$B15,+Rounding!Q$133,0)</f>
        <v>210.98430999999999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7.5999999999999998E-2</v>
      </c>
      <c r="E16" s="775">
        <f>+'Income-2021-leva'!E16/1000+IF(+Rounding!$C$131=$B16,+Rounding!E$131,0)+IF(+Rounding!$C$132=$B16,+Rounding!E$132,0)+IF(+Rounding!$C$133=$B16,+Rounding!E$133,0)</f>
        <v>0.78673000000000004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7.5999999999999998E-2</v>
      </c>
      <c r="N16" s="775">
        <f>++E16+H16+K16+IF(+Rounding!$O$131=$B16,+Rounding!Q$131,0)+IF(+Rounding!$O$132=$B16,+Rounding!Q$132,0)+IF(+Rounding!$O$133=$B16,+Rounding!Q$133,0)</f>
        <v>0.78673000000000004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109.49224000000001</v>
      </c>
      <c r="E17" s="775">
        <f>+'Income-2021-leva'!E17/1000+IF(+Rounding!$C$131=$B17,+Rounding!E$131,0)+IF(+Rounding!$C$132=$B17,+Rounding!E$132,0)+IF(+Rounding!$C$133=$B17,+Rounding!E$133,0)</f>
        <v>727.94164000000001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109.49224000000001</v>
      </c>
      <c r="N17" s="775">
        <f>++E17+H17+K17+IF(+Rounding!$O$131=$B17,+Rounding!Q$131,0)+IF(+Rounding!$O$132=$B17,+Rounding!Q$132,0)+IF(+Rounding!$O$133=$B17,+Rounding!Q$133,0)</f>
        <v>727.94164000000001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8.1179100000000002</v>
      </c>
      <c r="E19" s="775">
        <f>+'Income-2021-leva'!E19/1000+IF(+Rounding!$C$131=$B19,+Rounding!E$131,0)+IF(+Rounding!$C$132=$B19,+Rounding!E$132,0)+IF(+Rounding!$C$133=$B19,+Rounding!E$133,0)</f>
        <v>35.895789999999998</v>
      </c>
      <c r="F19" s="658"/>
      <c r="G19" s="774">
        <f>+'Income-2021-leva'!G19/1000+IF(+Rounding!$G$131=$B19,+Rounding!H$131,0)+IF(+Rounding!$G$132=$B19,+Rounding!H$132,0)+IF(+Rounding!$G$133=$B19,+Rounding!H$133,0)</f>
        <v>1.1200000000000001E-3</v>
      </c>
      <c r="H19" s="775">
        <f>+'Income-2021-leva'!H19/1000+IF(+Rounding!$G$131=$B19,+Rounding!I$131,0)+IF(+Rounding!$G$132=$B19,+Rounding!I$132,0)+IF(+Rounding!$G$133=$B19,+Rounding!I$133,0)</f>
        <v>2.1940000000000001E-2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8.1190300000000004</v>
      </c>
      <c r="N19" s="775">
        <f>++E19+H19+K19+IF(+Rounding!$O$131=$B19,+Rounding!Q$131,0)+IF(+Rounding!$O$132=$B19,+Rounding!Q$132,0)+IF(+Rounding!$O$133=$B19,+Rounding!Q$133,0)</f>
        <v>35.917729999999999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-1.13917</v>
      </c>
      <c r="E20" s="775">
        <f>+'Income-2021-leva'!E20/1000+IF(+Rounding!$C$131=$B20,+Rounding!E$131,0)+IF(+Rounding!$C$132=$B20,+Rounding!E$132,0)+IF(+Rounding!$C$133=$B20,+Rounding!E$133,0)</f>
        <v>105.52903999999999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-1.13917</v>
      </c>
      <c r="N20" s="775">
        <f>++E20+H20+K20+IF(+Rounding!$O$131=$B20,+Rounding!Q$131,0)+IF(+Rounding!$O$132=$B20,+Rounding!Q$132,0)+IF(+Rounding!$O$133=$B20,+Rounding!Q$133,0)</f>
        <v>105.52903999999999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0.91100000000000003</v>
      </c>
      <c r="E21" s="777">
        <f>+'Income-2021-leva'!E21/1000+IF(+Rounding!$C$131=$B21,+Rounding!E$131,0)+IF(+Rounding!$C$132=$B21,+Rounding!E$132,0)+IF(+Rounding!$C$133=$B21,+Rounding!E$133,0)</f>
        <v>177.70495000000003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0.91100000000000003</v>
      </c>
      <c r="N21" s="777">
        <f>++E21+H21+K21+IF(+Rounding!$O$131=$B21,+Rounding!Q$131,0)+IF(+Rounding!$O$132=$B21,+Rounding!Q$132,0)+IF(+Rounding!$O$133=$B21,+Rounding!Q$133,0)</f>
        <v>177.70495000000003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476.01002</v>
      </c>
      <c r="E22" s="779">
        <f>+SUM(E13:E21)</f>
        <v>2519.4356199999997</v>
      </c>
      <c r="F22" s="658"/>
      <c r="G22" s="778">
        <f>+SUM(G13:G21)</f>
        <v>1.1200000000000001E-3</v>
      </c>
      <c r="H22" s="779">
        <f>+SUM(H13:H21)</f>
        <v>2.1940000000000001E-2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476.01114000000001</v>
      </c>
      <c r="N22" s="779">
        <f>+SUM(N13:N21)</f>
        <v>2519.4575599999998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4.5780600000000007</v>
      </c>
      <c r="E24" s="775">
        <f>+'Income-2021-leva'!E24/1000+IF(+Rounding!$C$131=$B24,+Rounding!E$131,0)+IF(+Rounding!$C$132=$B24,+Rounding!E$132,0)+IF(+Rounding!$C$133=$B24,+Rounding!E$133,0)</f>
        <v>22.20262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4.5780600000000007</v>
      </c>
      <c r="N24" s="775">
        <f>++E24+H24+K24+IF(+Rounding!$O$131=$B24,+Rounding!Q$131,0)+IF(+Rounding!$O$132=$B24,+Rounding!Q$132,0)+IF(+Rounding!$O$133=$B24,+Rounding!Q$133,0)</f>
        <v>22.20262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5</v>
      </c>
      <c r="E25" s="775">
        <f>+'Income-2021-leva'!E25/1000+IF(+Rounding!$C$131=$B25,+Rounding!E$131,0)+IF(+Rounding!$C$132=$B25,+Rounding!E$132,0)+IF(+Rounding!$C$133=$B25,+Rounding!E$133,0)</f>
        <v>352.28871000000004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5</v>
      </c>
      <c r="N25" s="775">
        <f>++E25+H25+K25+IF(+Rounding!$O$131=$B25,+Rounding!Q$131,0)+IF(+Rounding!$O$132=$B25,+Rounding!Q$132,0)+IF(+Rounding!$O$133=$B25,+Rounding!Q$133,0)</f>
        <v>352.28871000000004</v>
      </c>
      <c r="O25" s="152"/>
      <c r="P25" s="1667" t="s">
        <v>1869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9.5780600000000007</v>
      </c>
      <c r="E27" s="779">
        <f>+SUM(E24:E26)</f>
        <v>374.49133000000006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9.5780600000000007</v>
      </c>
      <c r="N27" s="779">
        <f>+SUM(N24:N26)</f>
        <v>374.49133000000006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-21.007720000000003</v>
      </c>
      <c r="E29" s="779">
        <f>+'Income-2021-leva'!E29/1000+IF(+Rounding!$C$131=$B29,+Rounding!E$131,0)+IF(+Rounding!$C$132=$B29,+Rounding!E$132,0)+IF(+Rounding!$C$133=$B29,+Rounding!E$133,0)</f>
        <v>-0.21199000000000001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-21.007720000000003</v>
      </c>
      <c r="N29" s="779">
        <f>+E29+H29+K29+IF(+Rounding!$O$131=$B29,+Rounding!Q$131,0)+IF(+Rounding!$O$132=$B29,+Rounding!Q$132,0)+IF(+Rounding!$O$133=$B29,+Rounding!Q$133,0)+Q29</f>
        <v>-0.21199000000000001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+'Income-2021-leva'!D30/1000</f>
        <v>-21.007720000000003</v>
      </c>
      <c r="E30" s="1893">
        <f>+'Income-2021-leva'!E30/1000</f>
        <v>-0.21199000000000001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-21.007720000000003</v>
      </c>
      <c r="N30" s="1893">
        <f>+E30+H30+K30</f>
        <v>-0.21199000000000001</v>
      </c>
      <c r="O30" s="152"/>
      <c r="P30" s="2542" t="str">
        <f>+'Income-2021-leva'!P30:Q30</f>
        <v>O K</v>
      </c>
      <c r="Q30" s="254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8">
        <f>+IF(P30="O K",0,"N o ")</f>
        <v>0</v>
      </c>
      <c r="Q31" s="2598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7" t="str">
        <f>+'Income-2021-leva'!P32:Q32</f>
        <v>O K</v>
      </c>
      <c r="Q32" s="2597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2092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14.490219999999999</v>
      </c>
      <c r="E37" s="777">
        <f>+'Income-2021-leva'!E37/1000+IF(+Rounding!$C$131=$B37,+Rounding!E$131,0)+IF(+Rounding!$C$132=$B37,+Rounding!E$132,0)+IF(+Rounding!$C$133=$B37,+Rounding!E$133,0)</f>
        <v>21.896259999999998</v>
      </c>
      <c r="F37" s="658"/>
      <c r="G37" s="776">
        <f>+'Income-2021-leva'!G37/1000+IF(+Rounding!$G$131=$B37,+Rounding!H$131,0)+IF(+Rounding!$G$132=$B37,+Rounding!H$132,0)+IF(+Rounding!$G$133=$B37,+Rounding!H$133,0)</f>
        <v>0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14.490219999999999</v>
      </c>
      <c r="N37" s="777">
        <f>++E37+H37+K37+IF(+Rounding!$O$131=$B37,+Rounding!Q$131,0)+IF(+Rounding!$O$132=$B37,+Rounding!Q$132,0)+IF(+Rounding!$O$133=$B37,+Rounding!Q$133,0)</f>
        <v>21.896259999999998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14.490219999999999</v>
      </c>
      <c r="E38" s="779">
        <f>+SUM(E34:E37)</f>
        <v>21.896259999999998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14.490219999999999</v>
      </c>
      <c r="N38" s="779">
        <f>+SUM(N34:N37)</f>
        <v>21.896259999999998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479.07058000000001</v>
      </c>
      <c r="E40" s="783">
        <f>+E22+E27+E29+E32+E38</f>
        <v>2915.6112200000002</v>
      </c>
      <c r="F40" s="658"/>
      <c r="G40" s="782">
        <f>+G22+G27+G29+G32+G38</f>
        <v>1.1200000000000001E-3</v>
      </c>
      <c r="H40" s="783">
        <f>+H22+H27+H29+H32+H38</f>
        <v>2.1940000000000001E-2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479.07170000000002</v>
      </c>
      <c r="N40" s="783">
        <f>+N22+N27+N29+N32+N38</f>
        <v>2915.6331599999999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279.07148999999998</v>
      </c>
      <c r="E43" s="775">
        <f>+'Income-2021-leva'!E43/1000+IF(+Rounding!$C$131=$B43,+Rounding!E$131,0)+IF(+Rounding!$C$132=$B43,+Rounding!E$132,0)+IF(+Rounding!$C$133=$B43,+Rounding!E$133,0)</f>
        <v>1341.2610300000001</v>
      </c>
      <c r="F43" s="658"/>
      <c r="G43" s="774">
        <f>+'Income-2021-leva'!G43/1000+IF(+Rounding!$G$131=$B43,+Rounding!H$131,0)+IF(+Rounding!$G$132=$B43,+Rounding!H$132,0)+IF(+Rounding!$G$133=$B43,+Rounding!H$133,0)</f>
        <v>52.693870000000004</v>
      </c>
      <c r="H43" s="775">
        <f>+'Income-2021-leva'!H43/1000+IF(+Rounding!$G$131=$B43,+Rounding!I$131,0)+IF(+Rounding!$G$132=$B43,+Rounding!I$132,0)+IF(+Rounding!$G$133=$B43,+Rounding!I$133,0)</f>
        <v>99.242940000000004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331.76535999999999</v>
      </c>
      <c r="N43" s="775">
        <f>++E43+H43+K43+IF(+Rounding!$O$131=$B43,+Rounding!Q$131,0)+IF(+Rounding!$O$132=$B43,+Rounding!Q$132,0)+IF(+Rounding!$O$133=$B43,+Rounding!Q$133,0)</f>
        <v>1440.5039700000002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124.97642999999999</v>
      </c>
      <c r="E44" s="775">
        <f>+'Income-2021-leva'!E44/1000+IF(+Rounding!$C$131=$B44,+Rounding!E$131,0)+IF(+Rounding!$C$132=$B44,+Rounding!E$132,0)+IF(+Rounding!$C$133=$B44,+Rounding!E$133,0)</f>
        <v>878.60136</v>
      </c>
      <c r="F44" s="658"/>
      <c r="G44" s="774">
        <f>+'Income-2021-leva'!G44/1000+IF(+Rounding!$G$131=$B44,+Rounding!H$131,0)+IF(+Rounding!$G$132=$B44,+Rounding!H$132,0)+IF(+Rounding!$G$133=$B44,+Rounding!H$133,0)</f>
        <v>13.451700000000001</v>
      </c>
      <c r="H44" s="775">
        <f>+'Income-2021-leva'!H44/1000+IF(+Rounding!$G$131=$B44,+Rounding!I$131,0)+IF(+Rounding!$G$132=$B44,+Rounding!I$132,0)+IF(+Rounding!$G$133=$B44,+Rounding!I$133,0)</f>
        <v>118.63571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138.42812999999998</v>
      </c>
      <c r="N44" s="775">
        <f>++E44+H44+K44+IF(+Rounding!$O$131=$B44,+Rounding!Q$131,0)+IF(+Rounding!$O$132=$B44,+Rounding!Q$132,0)+IF(+Rounding!$O$133=$B44,+Rounding!Q$133,0)</f>
        <v>997.23707000000002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179.62633</v>
      </c>
      <c r="E45" s="775">
        <f>+'Income-2021-leva'!E45/1000+IF(+Rounding!$C$131=$B45,+Rounding!E$131,0)+IF(+Rounding!$C$132=$B45,+Rounding!E$132,0)+IF(+Rounding!$C$133=$B45,+Rounding!E$133,0)</f>
        <v>704.53318000000002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542.39157</v>
      </c>
      <c r="K45" s="775">
        <f>+'Income-2021-leva'!K45/1000+IF(+Rounding!$K$131=$B45,+Rounding!M$131,0)+IF(+Rounding!$K$132=$B45,+Rounding!M$132,0)+IF(+Rounding!$K$133=$B45,+Rounding!M$133,0)</f>
        <v>1683.7336699999998</v>
      </c>
      <c r="L45" s="658"/>
      <c r="M45" s="774">
        <f>++D45+G45+J45+IF(+Rounding!$O$131=$B45,+Rounding!P$131,0)+IF(+Rounding!$O$132=$B45,+Rounding!P$132,0)+IF(+Rounding!$O$133=$B45,+Rounding!P$133,0)</f>
        <v>722.01790000000005</v>
      </c>
      <c r="N45" s="775">
        <f>++E45+H45+K45+IF(+Rounding!$O$131=$B45,+Rounding!Q$131,0)+IF(+Rounding!$O$132=$B45,+Rounding!Q$132,0)+IF(+Rounding!$O$133=$B45,+Rounding!Q$133,0)</f>
        <v>2388.26685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1006.57583</v>
      </c>
      <c r="E46" s="775">
        <f>+'Income-2021-leva'!E46/1000+IF(+Rounding!$C$131=$B46,+Rounding!E$131,0)+IF(+Rounding!$C$132=$B46,+Rounding!E$132,0)+IF(+Rounding!$C$133=$B46,+Rounding!E$133,0)</f>
        <v>6228.8636200000001</v>
      </c>
      <c r="F46" s="658"/>
      <c r="G46" s="774">
        <f>+'Income-2021-leva'!G46/1000+IF(+Rounding!$G$131=$B46,+Rounding!H$131,0)+IF(+Rounding!$G$132=$B46,+Rounding!H$132,0)+IF(+Rounding!$G$133=$B46,+Rounding!H$133,0)</f>
        <v>99.73411999999999</v>
      </c>
      <c r="H46" s="775">
        <f>+'Income-2021-leva'!H46/1000+IF(+Rounding!$G$131=$B46,+Rounding!I$131,0)+IF(+Rounding!$G$132=$B46,+Rounding!I$132,0)+IF(+Rounding!$G$133=$B46,+Rounding!I$133,0)</f>
        <v>668.70798000000002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1106.3099500000001</v>
      </c>
      <c r="N46" s="775">
        <f>++E46+H46+K46+IF(+Rounding!$O$131=$B46,+Rounding!Q$131,0)+IF(+Rounding!$O$132=$B46,+Rounding!Q$132,0)+IF(+Rounding!$O$133=$B46,+Rounding!Q$133,0)</f>
        <v>6897.5716000000002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259.56236000000001</v>
      </c>
      <c r="E47" s="775">
        <f>+'Income-2021-leva'!E47/1000+IF(+Rounding!$C$131=$B47,+Rounding!E$131,0)+IF(+Rounding!$C$132=$B47,+Rounding!E$132,0)+IF(+Rounding!$C$133=$B47,+Rounding!E$133,0)</f>
        <v>1240.08825</v>
      </c>
      <c r="F47" s="658"/>
      <c r="G47" s="774">
        <f>+'Income-2021-leva'!G47/1000+IF(+Rounding!$G$131=$B47,+Rounding!H$131,0)+IF(+Rounding!$G$132=$B47,+Rounding!H$132,0)+IF(+Rounding!$G$133=$B47,+Rounding!H$133,0)</f>
        <v>20.562090000000001</v>
      </c>
      <c r="H47" s="775">
        <f>+'Income-2021-leva'!H47/1000+IF(+Rounding!$G$131=$B47,+Rounding!I$131,0)+IF(+Rounding!$G$132=$B47,+Rounding!I$132,0)+IF(+Rounding!$G$133=$B47,+Rounding!I$133,0)</f>
        <v>134.82830999999999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280.12445000000002</v>
      </c>
      <c r="N47" s="775">
        <f>++E47+H47+K47+IF(+Rounding!$O$131=$B47,+Rounding!Q$131,0)+IF(+Rounding!$O$132=$B47,+Rounding!Q$132,0)+IF(+Rounding!$O$133=$B47,+Rounding!Q$133,0)</f>
        <v>1374.9165600000001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10.902139999999999</v>
      </c>
      <c r="E48" s="775">
        <f>+'Income-2021-leva'!E48/1000+IF(+Rounding!$C$131=$B48,+Rounding!E$131,0)+IF(+Rounding!$C$132=$B48,+Rounding!E$132,0)+IF(+Rounding!$C$133=$B48,+Rounding!E$133,0)</f>
        <v>33.21875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10.902139999999999</v>
      </c>
      <c r="N48" s="775">
        <f>+E48+H48+K48+IF(+Rounding!$O$131=$B48,+Rounding!Q$131,0)+IF(+Rounding!$O$132=$B48,+Rounding!Q$132,0)+IF(+Rounding!$O$133=$B48,+Rounding!Q$133,0)+Q48</f>
        <v>33.21875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2.6225000000000001</v>
      </c>
      <c r="E49" s="775">
        <f>+'Income-2021-leva'!E49/1000+IF(+Rounding!$C$131=$B49,+Rounding!E$131,0)+IF(+Rounding!$C$132=$B49,+Rounding!E$132,0)+IF(+Rounding!$C$133=$B49,+Rounding!E$133,0)</f>
        <v>13.886839999999999</v>
      </c>
      <c r="F49" s="658"/>
      <c r="G49" s="774">
        <f>+'Income-2021-leva'!G49/1000+IF(+Rounding!$G$131=$B49,+Rounding!H$131,0)+IF(+Rounding!$G$132=$B49,+Rounding!H$132,0)+IF(+Rounding!$G$133=$B49,+Rounding!H$133,0)</f>
        <v>0.39200000000000002</v>
      </c>
      <c r="H49" s="775">
        <f>+'Income-2021-leva'!H49/1000+IF(+Rounding!$G$131=$B49,+Rounding!I$131,0)+IF(+Rounding!$G$132=$B49,+Rounding!I$132,0)+IF(+Rounding!$G$133=$B49,+Rounding!I$133,0)</f>
        <v>3.4626000000000001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3.0145</v>
      </c>
      <c r="N49" s="775">
        <f>++E49+H49+K49+IF(+Rounding!$O$131=$B49,+Rounding!Q$131,0)+IF(+Rounding!$O$132=$B49,+Rounding!Q$132,0)+IF(+Rounding!$O$133=$B49,+Rounding!Q$133,0)</f>
        <v>17.349440000000001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10.02392</v>
      </c>
      <c r="E50" s="775">
        <f>+'Income-2021-leva'!E50/1000+IF(+Rounding!$C$131=$B50,+Rounding!E$131,0)+IF(+Rounding!$C$132=$B50,+Rounding!E$132,0)+IF(+Rounding!$C$133=$B50,+Rounding!E$133,0)</f>
        <v>76.603560000000002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10.02392</v>
      </c>
      <c r="N50" s="775">
        <f>++E50+H50+K50+IF(+Rounding!$O$131=$B50,+Rounding!Q$131,0)+IF(+Rounding!$O$132=$B50,+Rounding!Q$132,0)+IF(+Rounding!$O$133=$B50,+Rounding!Q$133,0)</f>
        <v>76.603560000000002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59.284309999999998</v>
      </c>
      <c r="E51" s="775">
        <f>+'Income-2021-leva'!E51/1000+IF(+Rounding!$C$131=$B51,+Rounding!E$131,0)+IF(+Rounding!$C$132=$B51,+Rounding!E$132,0)+IF(+Rounding!$C$133=$B51,+Rounding!E$133,0)</f>
        <v>197.40957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59.284309999999998</v>
      </c>
      <c r="N51" s="775">
        <f>++E51+H51+K51+IF(+Rounding!$O$131=$B51,+Rounding!Q$131,0)+IF(+Rounding!$O$132=$B51,+Rounding!Q$132,0)+IF(+Rounding!$O$133=$B51,+Rounding!Q$133,0)</f>
        <v>197.40957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-208.96715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-208.96715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1932.6453100000001</v>
      </c>
      <c r="E53" s="787">
        <f>+SUM(E43:E52)</f>
        <v>10505.49901</v>
      </c>
      <c r="F53" s="658"/>
      <c r="G53" s="786">
        <f>+SUM(G43:G52)</f>
        <v>186.83377999999999</v>
      </c>
      <c r="H53" s="787">
        <f>+SUM(H43:H52)</f>
        <v>1024.87754</v>
      </c>
      <c r="I53" s="658"/>
      <c r="J53" s="786">
        <f>+SUM(J43:J52)</f>
        <v>542.39157</v>
      </c>
      <c r="K53" s="787">
        <f>+SUM(K43:K52)</f>
        <v>1683.7336699999998</v>
      </c>
      <c r="L53" s="658"/>
      <c r="M53" s="786">
        <f>+SUM(M43:M52)</f>
        <v>2661.870660000001</v>
      </c>
      <c r="N53" s="787">
        <f>+SUM(N43:N52)</f>
        <v>13214.110219999999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2173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42" t="str">
        <f>+'Income-2021-leva'!P54:Q54</f>
        <v>O K</v>
      </c>
      <c r="Q54" s="254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4.0818000000000003</v>
      </c>
      <c r="E55" s="775">
        <f>+'Income-2021-leva'!E55/1000+IF(+Rounding!$C$131=$B55,+Rounding!E$131,0)+IF(+Rounding!$C$132=$B55,+Rounding!E$132,0)+IF(+Rounding!$C$133=$B55,+Rounding!E$133,0)</f>
        <v>13.844049999999999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4.0818000000000003</v>
      </c>
      <c r="N55" s="775">
        <f>++E55+H55+K55+IF(+Rounding!$O$131=$B55,+Rounding!Q$131,0)+IF(+Rounding!$O$132=$B55,+Rounding!Q$132,0)+IF(+Rounding!$O$133=$B55,+Rounding!Q$133,0)</f>
        <v>13.844049999999999</v>
      </c>
      <c r="O55" s="152"/>
      <c r="P55" s="2597" t="str">
        <f>+'Income-2021-leva'!P55:Q55</f>
        <v>O K</v>
      </c>
      <c r="Q55" s="2597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155.91479999999999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155.91479999999999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4.0818000000000003</v>
      </c>
      <c r="E58" s="787">
        <f>+SUM(E55:E57)</f>
        <v>169.75885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4.0818000000000003</v>
      </c>
      <c r="N58" s="787">
        <f>+SUM(N55:N57)</f>
        <v>169.75885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8.9764999999999997</v>
      </c>
      <c r="E64" s="775">
        <f>+'Income-2021-leva'!E64/1000+IF(+Rounding!$C$131=$B64,+Rounding!E$131,0)+IF(+Rounding!$C$132=$B64,+Rounding!E$132,0)+IF(+Rounding!$C$133=$B64,+Rounding!E$133,0)</f>
        <v>51.719089999999994</v>
      </c>
      <c r="F64" s="658"/>
      <c r="G64" s="774">
        <f>+'Income-2021-leva'!G64/1000+IF(+Rounding!$G$131=$B64,+Rounding!H$131,0)+IF(+Rounding!$G$132=$B64,+Rounding!H$132,0)+IF(+Rounding!$G$133=$B64,+Rounding!H$133,0)</f>
        <v>1.1853499999999999</v>
      </c>
      <c r="H64" s="775">
        <f>+'Income-2021-leva'!H64/1000+IF(+Rounding!$G$131=$B64,+Rounding!I$131,0)+IF(+Rounding!$G$132=$B64,+Rounding!I$132,0)+IF(+Rounding!$G$133=$B64,+Rounding!I$133,0)</f>
        <v>8.1670499999999997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10.161849999999999</v>
      </c>
      <c r="N64" s="775">
        <f>++E64+H64+K64+IF(+Rounding!$O$131=$B64,+Rounding!Q$131,0)+IF(+Rounding!$O$132=$B64,+Rounding!Q$132,0)+IF(+Rounding!$O$133=$B64,+Rounding!Q$133,0)</f>
        <v>59.886139999999997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8.9764999999999997</v>
      </c>
      <c r="E66" s="787">
        <f>++SUM(E64:E65)</f>
        <v>51.719089999999994</v>
      </c>
      <c r="F66" s="658"/>
      <c r="G66" s="786">
        <f>++SUM(G64:G65)</f>
        <v>1.1853499999999999</v>
      </c>
      <c r="H66" s="787">
        <f>++SUM(H64:H65)</f>
        <v>8.1670499999999997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10.161849999999999</v>
      </c>
      <c r="N66" s="787">
        <f>++SUM(N64:N65)</f>
        <v>59.886139999999997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116.449</v>
      </c>
      <c r="E68" s="775">
        <f>+'Income-2021-leva'!E68/1000+IF(+Rounding!$C$131=$B68,+Rounding!E$131,0)+IF(+Rounding!$C$132=$B68,+Rounding!E$132,0)+IF(+Rounding!$C$133=$B68,+Rounding!E$133,0)</f>
        <v>263.47826000000003</v>
      </c>
      <c r="F68" s="658"/>
      <c r="G68" s="774">
        <f>+'Income-2021-leva'!G68/1000+IF(+Rounding!$G$131=$B68,+Rounding!H$131,0)+IF(+Rounding!$G$132=$B68,+Rounding!H$132,0)+IF(+Rounding!$G$133=$B68,+Rounding!H$133,0)</f>
        <v>8</v>
      </c>
      <c r="H68" s="775">
        <f>+'Income-2021-leva'!H68/1000+IF(+Rounding!$G$131=$B68,+Rounding!I$131,0)+IF(+Rounding!$G$132=$B68,+Rounding!I$132,0)+IF(+Rounding!$G$133=$B68,+Rounding!I$133,0)</f>
        <v>209.99114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124.449</v>
      </c>
      <c r="N68" s="775">
        <f>++E68+H68+K68+IF(+Rounding!$O$131=$B68,+Rounding!Q$131,0)+IF(+Rounding!$O$132=$B68,+Rounding!Q$132,0)+IF(+Rounding!$O$133=$B68,+Rounding!Q$133,0)</f>
        <v>473.46940000000006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64.022000000000006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64.022000000000006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116.449</v>
      </c>
      <c r="E70" s="787">
        <f>++SUM(E68:E69)</f>
        <v>327.50026000000003</v>
      </c>
      <c r="F70" s="658"/>
      <c r="G70" s="786">
        <f>++SUM(G68:G69)</f>
        <v>8</v>
      </c>
      <c r="H70" s="787">
        <f>++SUM(H68:H69)</f>
        <v>209.99114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124.449</v>
      </c>
      <c r="N70" s="787">
        <f>++SUM(N68:N69)</f>
        <v>537.49140000000011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372.60631000000001</v>
      </c>
      <c r="E72" s="787">
        <f>+'Income-2021-leva'!E72/1000+IF(+Rounding!$C$131=$B72,+Rounding!E$131,0)+IF(+Rounding!$C$132=$B72,+Rounding!E$132,0)+IF(+Rounding!$C$133=$B72,+Rounding!E$133,0)</f>
        <v>5</v>
      </c>
      <c r="F72" s="658"/>
      <c r="G72" s="786">
        <f>+'Income-2021-leva'!G72/1000+IF(+Rounding!$G$131=$B72,+Rounding!H$131,0)+IF(+Rounding!$G$132=$B72,+Rounding!H$132,0)+IF(+Rounding!$G$133=$B72,+Rounding!H$133,0)</f>
        <v>292.57761999999997</v>
      </c>
      <c r="H72" s="787">
        <f>+'Income-2021-leva'!H72/1000+IF(+Rounding!$G$131=$B72,+Rounding!I$131,0)+IF(+Rounding!$G$132=$B72,+Rounding!I$132,0)+IF(+Rounding!$G$133=$B72,+Rounding!I$133,0)</f>
        <v>6552.0852800000002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-6557.0852800000002</v>
      </c>
      <c r="L72" s="658"/>
      <c r="M72" s="786">
        <f>++D72+G72+J72+IF(+Rounding!$O$131=$B72,+Rounding!P$131,0)+IF(+Rounding!$O$132=$B72,+Rounding!P$132,0)+IF(+Rounding!$O$133=$B72,+Rounding!P$133,0)</f>
        <v>665.18392999999992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42" t="str">
        <f>+'Income-2021-leva'!P75:Q75</f>
        <v>O K</v>
      </c>
      <c r="Q75" s="254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8">
        <f>+IF(P75="O K",0,"N o ")</f>
        <v>0</v>
      </c>
      <c r="Q76" s="2598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2434.7589200000002</v>
      </c>
      <c r="E77" s="789">
        <f>+E53+E58+E62+E66+E70+E72+E74</f>
        <v>11059.477210000001</v>
      </c>
      <c r="F77" s="658"/>
      <c r="G77" s="788">
        <f>+G53+G58+G62+G66+G70+G72+G74</f>
        <v>488.59674999999993</v>
      </c>
      <c r="H77" s="789">
        <f>+H53+H58+H62+H66+H70+H72+H74</f>
        <v>7795.1210100000008</v>
      </c>
      <c r="I77" s="658"/>
      <c r="J77" s="788">
        <f>+J53+J58+J62+J66+J70+J72+J74</f>
        <v>542.39157</v>
      </c>
      <c r="K77" s="789">
        <f>+K53+K58+K62+K66+K70+K72+K74</f>
        <v>-4873.3516100000006</v>
      </c>
      <c r="L77" s="658"/>
      <c r="M77" s="788">
        <f>+M53+M58+M62+M66+M70+M72+M74</f>
        <v>3465.7472400000006</v>
      </c>
      <c r="N77" s="789">
        <f>+N53+N58+N62+N66+N70+N72+N74</f>
        <v>13981.24661</v>
      </c>
      <c r="O77" s="152"/>
      <c r="P77" s="2597" t="str">
        <f>+'Income-2021-leva'!P77:Q77</f>
        <v>O K</v>
      </c>
      <c r="Q77" s="2597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2863.8484700000004</v>
      </c>
      <c r="E79" s="775">
        <f>+'Income-2021-leva'!E79/1000+IF(+Rounding!$C$131=$B79,+Rounding!E$131,0)+IF(+Rounding!$C$132=$B79,+Rounding!E$132,0)+IF(+Rounding!$C$133=$B79,+Rounding!E$133,0)</f>
        <v>9809.7363800000003</v>
      </c>
      <c r="F79" s="658"/>
      <c r="G79" s="774">
        <f>+'Income-2021-leva'!G79/1000+IF(+Rounding!$G$131=$B79,+Rounding!H$131,0)+IF(+Rounding!$G$132=$B79,+Rounding!H$132,0)+IF(+Rounding!$G$133=$B79,+Rounding!H$133,0)</f>
        <v>116.73252000000001</v>
      </c>
      <c r="H79" s="775">
        <f>+'Income-2021-leva'!H79/1000+IF(+Rounding!$G$131=$B79,+Rounding!I$131,0)+IF(+Rounding!$G$132=$B79,+Rounding!I$132,0)+IF(+Rounding!$G$133=$B79,+Rounding!I$133,0)</f>
        <v>1961.9527499999999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2980.5809900000004</v>
      </c>
      <c r="N79" s="775">
        <f>++E79+H79+K79+IF(+Rounding!$O$131=$B79,+Rounding!Q$131,0)+IF(+Rounding!$O$132=$B79,+Rounding!Q$132,0)+IF(+Rounding!$O$133=$B79,+Rounding!Q$133,0)</f>
        <v>11771.689130000001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-14.38086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-14.38086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2863.8484700000004</v>
      </c>
      <c r="E81" s="791">
        <f>+SUM(E79:E80)</f>
        <v>9795.355520000001</v>
      </c>
      <c r="F81" s="658"/>
      <c r="G81" s="790">
        <f>+SUM(G79:G80)</f>
        <v>116.73252000000001</v>
      </c>
      <c r="H81" s="791">
        <f>+SUM(H79:H80)</f>
        <v>1961.9527499999999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2980.5809900000004</v>
      </c>
      <c r="N81" s="791">
        <f>+SUM(N79:N80)</f>
        <v>11757.308270000001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0</v>
      </c>
      <c r="E88" s="775">
        <f>+'Income-2021-leva'!E88/1000+IF(+Rounding!$C$131=$B88,+Rounding!E$131,0)+IF(+Rounding!$C$132=$B88,+Rounding!E$132,0)+IF(+Rounding!$C$133=$B88,+Rounding!E$133,0)</f>
        <v>226.56723000000002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-47.878830000000001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-155.91479999999999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22.773600000000044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0</v>
      </c>
      <c r="E90" s="795">
        <f>+SUM(E88:E89)</f>
        <v>226.56723000000002</v>
      </c>
      <c r="F90" s="658"/>
      <c r="G90" s="794">
        <f>+SUM(G88:G89)</f>
        <v>0</v>
      </c>
      <c r="H90" s="795">
        <f>+SUM(H88:H89)</f>
        <v>-47.878830000000001</v>
      </c>
      <c r="I90" s="658"/>
      <c r="J90" s="794">
        <f>+SUM(J88:J89)</f>
        <v>0</v>
      </c>
      <c r="K90" s="795">
        <f>+SUM(K88:K89)</f>
        <v>-155.91479999999999</v>
      </c>
      <c r="L90" s="658"/>
      <c r="M90" s="794">
        <f>+SUM(M88:M89)</f>
        <v>0</v>
      </c>
      <c r="N90" s="795">
        <f>+SUM(N88:N89)</f>
        <v>22.773600000000044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-21.610939999999999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-21.610939999999999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-21.610939999999999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-21.610939999999999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6.0372899999999996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100.62289999999999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106.66018999999999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126.28444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126.28444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44.232190000000003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44.232190000000003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132.32173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144.85508999999999</v>
      </c>
      <c r="L102" s="658"/>
      <c r="M102" s="794">
        <f>++SUM(M97:M101)</f>
        <v>0</v>
      </c>
      <c r="N102" s="795">
        <f>++SUM(N97:N101)</f>
        <v>277.17682000000002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4.0119999999999996E-2</v>
      </c>
      <c r="E106" s="775">
        <f>+'Income-2021-leva'!E106/1000+IF(+Rounding!$C$131=$B106,+Rounding!E$131,0)+IF(+Rounding!$C$132=$B106,+Rounding!E$132,0)+IF(+Rounding!$C$133=$B106,+Rounding!E$133,0)</f>
        <v>9.4798099999999987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4.0119999999999996E-2</v>
      </c>
      <c r="N106" s="775">
        <f>++E106+H106+K106+IF(+Rounding!$O$131=$B106,+Rounding!Q$131,0)+IF(+Rounding!$O$132=$B106,+Rounding!Q$132,0)+IF(+Rounding!$O$133=$B106,+Rounding!Q$133,0)</f>
        <v>9.4798099999999987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4.0119999999999996E-2</v>
      </c>
      <c r="E109" s="795">
        <f>++SUM(E104:E108)</f>
        <v>9.4798099999999987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4.0119999999999996E-2</v>
      </c>
      <c r="N109" s="795">
        <f>++SUM(N104:N108)</f>
        <v>9.4798099999999987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-4.0119999999999996E-2</v>
      </c>
      <c r="E111" s="797">
        <f>+E90+E95+E102-E109</f>
        <v>327.79821000000004</v>
      </c>
      <c r="F111" s="658"/>
      <c r="G111" s="796">
        <f>+G90+G95+G102-G109</f>
        <v>0</v>
      </c>
      <c r="H111" s="797">
        <f>+H90+H95+H102-H109</f>
        <v>-47.878830000000001</v>
      </c>
      <c r="I111" s="658"/>
      <c r="J111" s="796">
        <f>+J90+J95+J102-J109</f>
        <v>0</v>
      </c>
      <c r="K111" s="797">
        <f>+K90+K95+K102-K109</f>
        <v>-11.059709999999995</v>
      </c>
      <c r="L111" s="658"/>
      <c r="M111" s="796">
        <f>+M90+M95+M102-M109</f>
        <v>-4.0119999999999996E-2</v>
      </c>
      <c r="N111" s="797">
        <f>+N90+N95+N102-N109</f>
        <v>268.85967000000011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908.12001000000009</v>
      </c>
      <c r="E113" s="799">
        <f>+E40+E81+E85+E111-E77</f>
        <v>1979.2877400000016</v>
      </c>
      <c r="F113" s="658"/>
      <c r="G113" s="798">
        <f>+G40+G81+G85+G111-G77</f>
        <v>-371.86310999999989</v>
      </c>
      <c r="H113" s="799">
        <f>+H40+H81+H85+H111-H77</f>
        <v>-5881.0251500000013</v>
      </c>
      <c r="I113" s="658"/>
      <c r="J113" s="798">
        <f>+J40+J81+J85+J111-J77</f>
        <v>-542.39157</v>
      </c>
      <c r="K113" s="799">
        <f>+K40+K81+K85+K111-K77</f>
        <v>4862.2919000000002</v>
      </c>
      <c r="L113" s="658"/>
      <c r="M113" s="798">
        <f>+M40+M81+M85+M111-M77</f>
        <v>-6.1346700000003693</v>
      </c>
      <c r="N113" s="799">
        <f>+N40+N81+N85+N111-N77</f>
        <v>960.55449000000044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42" t="str">
        <f>+'Income-2021-leva'!P114:Q114</f>
        <v>O K</v>
      </c>
      <c r="Q114" s="254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1978</v>
      </c>
      <c r="B115" s="821"/>
      <c r="C115" s="658"/>
      <c r="D115" s="2034">
        <f>+'Income-2021-leva'!D115</f>
        <v>44314</v>
      </c>
      <c r="E115" s="2018" t="s">
        <v>1976</v>
      </c>
      <c r="F115" s="658"/>
      <c r="G115" s="823"/>
      <c r="H115" s="822"/>
      <c r="I115" s="822"/>
      <c r="J115" s="822"/>
      <c r="K115" s="2018" t="s">
        <v>1974</v>
      </c>
      <c r="L115" s="658"/>
      <c r="M115" s="826"/>
      <c r="N115" s="827"/>
      <c r="O115" s="152"/>
      <c r="P115" s="2597" t="str">
        <f>+'Income-2021-leva'!P115:Q115</f>
        <v>O K</v>
      </c>
      <c r="Q115" s="2597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90" t="str">
        <f>+'BALANCE-SHEET-2021-leva'!H97:J97</f>
        <v>Стела Иванова</v>
      </c>
      <c r="I116" s="2590"/>
      <c r="J116" s="2590"/>
      <c r="K116" s="823"/>
      <c r="L116" s="658"/>
      <c r="M116" s="2616" t="str">
        <f>+'BALANCE-SHEET-2021-leva'!M97</f>
        <v>Лъчезар Яков</v>
      </c>
      <c r="N116" s="261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1971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1970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1981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5"/>
      <c r="B138" s="2625"/>
      <c r="C138" s="2625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57">
        <f>+'TRIAL-BALANCE'!K10:L10</f>
        <v>44314</v>
      </c>
      <c r="L10" s="2458"/>
      <c r="M10" s="49"/>
      <c r="N10" s="156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NF-CSF</v>
      </c>
      <c r="F12" s="2631"/>
      <c r="G12" s="1130" t="s">
        <v>1003</v>
      </c>
      <c r="H12" s="2632" t="str">
        <f>+'TRIAL-BALANCE'!H12:K12</f>
        <v>31 март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32" t="s">
        <v>202</v>
      </c>
      <c r="O13" s="1133">
        <f t="shared" ref="O13:T13" si="0">+O890</f>
        <v>2122012.04</v>
      </c>
      <c r="P13" s="1134">
        <f t="shared" si="0"/>
        <v>2122012.04</v>
      </c>
      <c r="Q13" s="1135">
        <f t="shared" si="0"/>
        <v>2646310.0299999998</v>
      </c>
      <c r="R13" s="1134">
        <f t="shared" si="0"/>
        <v>2646310.0299999998</v>
      </c>
      <c r="S13" s="1135">
        <f t="shared" si="0"/>
        <v>3069602.77</v>
      </c>
      <c r="T13" s="1136">
        <f t="shared" si="0"/>
        <v>3069602.77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6842.68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6842.68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323704.39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323704.39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14000</v>
      </c>
      <c r="P73" s="582">
        <v>0</v>
      </c>
      <c r="Q73" s="589"/>
      <c r="R73" s="121"/>
      <c r="S73" s="583">
        <f t="shared" si="10"/>
        <v>14000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58091.99</v>
      </c>
      <c r="P77" s="582">
        <v>0</v>
      </c>
      <c r="Q77" s="589"/>
      <c r="R77" s="121"/>
      <c r="S77" s="583">
        <f t="shared" si="10"/>
        <v>58091.99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1308</v>
      </c>
      <c r="P81" s="582">
        <v>0</v>
      </c>
      <c r="Q81" s="589"/>
      <c r="R81" s="121"/>
      <c r="S81" s="583">
        <f t="shared" si="10"/>
        <v>1308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6968</v>
      </c>
      <c r="P89" s="582">
        <v>0</v>
      </c>
      <c r="Q89" s="589"/>
      <c r="R89" s="121"/>
      <c r="S89" s="583">
        <f t="shared" si="10"/>
        <v>6968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126808.22</v>
      </c>
      <c r="P104" s="9">
        <v>0</v>
      </c>
      <c r="Q104" s="122">
        <v>8585</v>
      </c>
      <c r="R104" s="121"/>
      <c r="S104" s="27">
        <f t="shared" si="15"/>
        <v>135393.22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81.67</v>
      </c>
      <c r="Q114" s="325">
        <v>357261.29</v>
      </c>
      <c r="R114" s="324">
        <v>366117.49</v>
      </c>
      <c r="S114" s="330">
        <v>0</v>
      </c>
      <c r="T114" s="327">
        <f>+IF(ABS(+O114+Q114)&lt;=ABS(P114+R114),-O114+P114-Q114+R114,0)</f>
        <v>8937.8699999999953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22227.3</v>
      </c>
      <c r="P115" s="582">
        <v>0</v>
      </c>
      <c r="Q115" s="122"/>
      <c r="R115" s="324"/>
      <c r="S115" s="27">
        <f>+IF(ABS(+O115+Q115)&gt;=ABS(P115+R115),+O115-P115+Q115-R115,0)</f>
        <v>22227.3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48299.79</v>
      </c>
      <c r="Q128" s="122">
        <v>215144.88</v>
      </c>
      <c r="R128" s="324">
        <v>179989.44</v>
      </c>
      <c r="S128" s="579">
        <v>0</v>
      </c>
      <c r="T128" s="580">
        <f>+IF(ABS(+O128+Q128)&lt;=ABS(P128+R128),-O128+P128-Q128+R128,0)</f>
        <v>13144.350000000006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>
        <v>8000</v>
      </c>
      <c r="R146" s="324">
        <v>8000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3278.31</v>
      </c>
      <c r="Q180" s="589">
        <v>7069.75</v>
      </c>
      <c r="R180" s="576">
        <v>5356.4</v>
      </c>
      <c r="S180" s="583">
        <f>+IF(ABS(+O180+Q180)&gt;=ABS(P180+R180),+O180-P180+Q180-R180,0)</f>
        <v>0</v>
      </c>
      <c r="T180" s="580">
        <f t="shared" si="22"/>
        <v>1564.9599999999996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607562.63</v>
      </c>
      <c r="Q186" s="589">
        <v>77509.19</v>
      </c>
      <c r="R186" s="324">
        <v>108303.03999999999</v>
      </c>
      <c r="S186" s="579">
        <v>0</v>
      </c>
      <c r="T186" s="580">
        <f>+IF(ABS(+O186+Q186)&lt;=ABS(P186+R186),-O186+P186-Q186+R186,0)</f>
        <v>638356.47999999998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12344.68</v>
      </c>
      <c r="Q191" s="589">
        <v>30510.41</v>
      </c>
      <c r="R191" s="576">
        <v>21834.41</v>
      </c>
      <c r="S191" s="583">
        <f>+IF(ABS(+O191+Q191)&gt;=ABS(P191+R191),+O191-P191+Q191-R191,0)</f>
        <v>0</v>
      </c>
      <c r="T191" s="580">
        <f t="shared" si="23"/>
        <v>3668.6800000000003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4746.79</v>
      </c>
      <c r="Q192" s="589">
        <v>11255.35</v>
      </c>
      <c r="R192" s="576">
        <v>7960.47</v>
      </c>
      <c r="S192" s="583">
        <f>+IF(ABS(+O192+Q192)&gt;=ABS(P192+R192),+O192-P192+Q192-R192,0)</f>
        <v>0</v>
      </c>
      <c r="T192" s="580">
        <f t="shared" si="23"/>
        <v>1451.9099999999999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2307.84</v>
      </c>
      <c r="Q193" s="589">
        <v>5180.2299999999996</v>
      </c>
      <c r="R193" s="576">
        <v>3741.11</v>
      </c>
      <c r="S193" s="583">
        <f>+IF(ABS(+O193+Q193)&gt;=ABS(P193+R193),+O193-P193+Q193-R193,0)</f>
        <v>0</v>
      </c>
      <c r="T193" s="580">
        <f t="shared" si="23"/>
        <v>868.72000000000071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64169.9</v>
      </c>
      <c r="Q202" s="589">
        <v>19377.93</v>
      </c>
      <c r="R202" s="576">
        <v>337896.29</v>
      </c>
      <c r="S202" s="583">
        <f t="shared" si="25"/>
        <v>0</v>
      </c>
      <c r="T202" s="580">
        <f t="shared" si="24"/>
        <v>382688.26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9774.81</v>
      </c>
      <c r="P216" s="576">
        <v>0</v>
      </c>
      <c r="Q216" s="589"/>
      <c r="R216" s="576">
        <v>8169.95</v>
      </c>
      <c r="S216" s="583">
        <f t="shared" si="25"/>
        <v>1604.8599999999997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136071.43</v>
      </c>
      <c r="P217" s="576">
        <v>0</v>
      </c>
      <c r="Q217" s="589">
        <v>17595.75</v>
      </c>
      <c r="R217" s="576">
        <v>55388.32</v>
      </c>
      <c r="S217" s="583">
        <f t="shared" si="25"/>
        <v>98278.859999999986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607562.63</v>
      </c>
      <c r="P274" s="576">
        <v>0</v>
      </c>
      <c r="Q274" s="589">
        <v>108303.03999999999</v>
      </c>
      <c r="R274" s="576">
        <v>77509.19</v>
      </c>
      <c r="S274" s="583">
        <f t="shared" si="31"/>
        <v>638356.47999999998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>
        <v>1185.3499999999999</v>
      </c>
      <c r="R279" s="576">
        <v>1185.3499999999999</v>
      </c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90526.3</v>
      </c>
      <c r="P296" s="582">
        <v>0</v>
      </c>
      <c r="Q296" s="122">
        <v>438760.26</v>
      </c>
      <c r="R296" s="576">
        <v>495758.14</v>
      </c>
      <c r="S296" s="583">
        <f t="shared" si="34"/>
        <v>33528.420000000042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1817.29</v>
      </c>
      <c r="R384" s="324"/>
      <c r="S384" s="326">
        <f t="shared" ref="S384:S415" si="47">+IF(ABS(+O384+Q384)&gt;=ABS(P384+R384),+O384-P384+Q384-R384,0)</f>
        <v>1817.29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8158.12</v>
      </c>
      <c r="R385" s="121"/>
      <c r="S385" s="27">
        <f t="shared" si="47"/>
        <v>8158.12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33480</v>
      </c>
      <c r="R386" s="121"/>
      <c r="S386" s="27">
        <f t="shared" si="47"/>
        <v>33480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241.12</v>
      </c>
      <c r="R391" s="121"/>
      <c r="S391" s="27">
        <f t="shared" si="47"/>
        <v>241.12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8997.34</v>
      </c>
      <c r="R393" s="121"/>
      <c r="S393" s="27">
        <f t="shared" si="47"/>
        <v>8997.34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7140</v>
      </c>
      <c r="R400" s="121"/>
      <c r="S400" s="27">
        <f t="shared" si="47"/>
        <v>7140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6311.7</v>
      </c>
      <c r="R401" s="121"/>
      <c r="S401" s="27">
        <f t="shared" si="47"/>
        <v>6311.7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4517.76</v>
      </c>
      <c r="R410" s="121"/>
      <c r="S410" s="27">
        <f t="shared" si="47"/>
        <v>4517.76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34460.03</v>
      </c>
      <c r="R411" s="121"/>
      <c r="S411" s="27">
        <f t="shared" si="47"/>
        <v>34460.03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60607.68</v>
      </c>
      <c r="R412" s="121"/>
      <c r="S412" s="583">
        <f t="shared" si="47"/>
        <v>60607.68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148.65</v>
      </c>
      <c r="R413" s="121"/>
      <c r="S413" s="583">
        <f t="shared" si="47"/>
        <v>148.65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13445.9</v>
      </c>
      <c r="R418" s="576"/>
      <c r="S418" s="583">
        <f t="shared" si="51"/>
        <v>13445.9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4954.5</v>
      </c>
      <c r="R419" s="576"/>
      <c r="S419" s="583">
        <f t="shared" si="51"/>
        <v>4954.5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2161.69</v>
      </c>
      <c r="R421" s="576"/>
      <c r="S421" s="583">
        <f t="shared" si="51"/>
        <v>2161.69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292577.62</v>
      </c>
      <c r="R437" s="576"/>
      <c r="S437" s="583">
        <f t="shared" si="51"/>
        <v>292577.62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1185.3499999999999</v>
      </c>
      <c r="R513" s="576"/>
      <c r="S513" s="583">
        <f t="shared" si="54"/>
        <v>1185.3499999999999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8000</v>
      </c>
      <c r="R525" s="576"/>
      <c r="S525" s="583">
        <f t="shared" si="54"/>
        <v>8000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1.06</v>
      </c>
      <c r="S679" s="583">
        <f t="shared" si="65"/>
        <v>0</v>
      </c>
      <c r="T679" s="580">
        <f t="shared" si="66"/>
        <v>1.06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116732.52</v>
      </c>
      <c r="S747" s="583">
        <f t="shared" si="68"/>
        <v>0</v>
      </c>
      <c r="T747" s="580">
        <f t="shared" si="69"/>
        <v>116732.52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4" t="str">
        <f>+E12</f>
        <v>NF-CSF</v>
      </c>
      <c r="J829" s="2634"/>
      <c r="K829" s="2634"/>
      <c r="L829" s="96"/>
      <c r="M829" s="51"/>
      <c r="N829" s="128" t="s">
        <v>666</v>
      </c>
      <c r="O829" s="846">
        <f t="shared" ref="O829:T829" si="73">+ROUND(+SUM(O14:O828),2)</f>
        <v>1073338.68</v>
      </c>
      <c r="P829" s="847">
        <f t="shared" si="73"/>
        <v>1073338.68</v>
      </c>
      <c r="Q829" s="869">
        <f t="shared" si="73"/>
        <v>1793943.18</v>
      </c>
      <c r="R829" s="870">
        <f t="shared" si="73"/>
        <v>1793943.18</v>
      </c>
      <c r="S829" s="871">
        <f t="shared" si="73"/>
        <v>1497961.88</v>
      </c>
      <c r="T829" s="872">
        <f t="shared" si="73"/>
        <v>1497961.88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3" t="str">
        <f>+I829</f>
        <v>NF-CSF</v>
      </c>
      <c r="J831" s="2633"/>
      <c r="K831" s="263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951409.23</v>
      </c>
      <c r="Q835" s="589">
        <v>329399.32</v>
      </c>
      <c r="R835" s="121">
        <v>100440</v>
      </c>
      <c r="S835" s="29">
        <v>0</v>
      </c>
      <c r="T835" s="28">
        <f>+IF(ABS(+O835+Q835)&lt;=ABS(P835+R835),-O835+P835-Q835+R835,0)</f>
        <v>722449.90999999992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97264.13</v>
      </c>
      <c r="Q848" s="589"/>
      <c r="R848" s="121"/>
      <c r="S848" s="579">
        <v>0</v>
      </c>
      <c r="T848" s="580">
        <f t="shared" ref="T848:T857" si="75">+IF(ABS(+O848+Q848)&lt;=ABS(P848+R848),-O848+P848-Q848+R848,0)</f>
        <v>97264.13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35590.879999999997</v>
      </c>
      <c r="R850" s="576"/>
      <c r="S850" s="583">
        <f t="shared" si="76"/>
        <v>35590.879999999997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364300.2</v>
      </c>
      <c r="S851" s="583">
        <f t="shared" si="76"/>
        <v>0</v>
      </c>
      <c r="T851" s="580">
        <f t="shared" si="75"/>
        <v>364300.2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>
        <v>100440</v>
      </c>
      <c r="R852" s="576"/>
      <c r="S852" s="583">
        <f t="shared" si="76"/>
        <v>100440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>
        <v>690</v>
      </c>
      <c r="S855" s="583">
        <f t="shared" si="76"/>
        <v>0</v>
      </c>
      <c r="T855" s="580">
        <f t="shared" si="75"/>
        <v>690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364151.3</v>
      </c>
      <c r="S857" s="583">
        <f t="shared" si="76"/>
        <v>0</v>
      </c>
      <c r="T857" s="580">
        <f t="shared" si="75"/>
        <v>364151.3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22785.35</v>
      </c>
      <c r="S878" s="583">
        <f t="shared" si="81"/>
        <v>0</v>
      </c>
      <c r="T878" s="580">
        <f t="shared" si="79"/>
        <v>22785.35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1048673.3600000001</v>
      </c>
      <c r="P887" s="37">
        <v>0</v>
      </c>
      <c r="Q887" s="598">
        <v>386936.65</v>
      </c>
      <c r="R887" s="597"/>
      <c r="S887" s="56">
        <f>+IF(ABS(+O887+Q887)&gt;=ABS(P887+R887),+O887-P887+Q887-R887,0)</f>
        <v>1435610.0100000002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NF-CSF</v>
      </c>
      <c r="J888" s="2630"/>
      <c r="K888" s="2630"/>
      <c r="L888" s="105"/>
      <c r="M888" s="51"/>
      <c r="N888" s="117">
        <v>9</v>
      </c>
      <c r="O888" s="846">
        <f t="shared" ref="O888:T888" si="82">+ROUND(SUM(O831:O887),2)</f>
        <v>1048673.3600000001</v>
      </c>
      <c r="P888" s="849">
        <f t="shared" si="82"/>
        <v>1048673.3600000001</v>
      </c>
      <c r="Q888" s="848">
        <f t="shared" si="82"/>
        <v>852366.85</v>
      </c>
      <c r="R888" s="849">
        <f t="shared" si="82"/>
        <v>852366.85</v>
      </c>
      <c r="S888" s="850">
        <f t="shared" si="82"/>
        <v>1571640.89</v>
      </c>
      <c r="T888" s="851">
        <f t="shared" si="82"/>
        <v>1571640.89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NF-CSF</v>
      </c>
      <c r="J890" s="2626"/>
      <c r="K890" s="2626"/>
      <c r="L890" s="287"/>
      <c r="M890" s="51"/>
      <c r="N890" s="288" t="s">
        <v>665</v>
      </c>
      <c r="O890" s="852">
        <f t="shared" ref="O890:T890" si="83">+ROUND(+O829+O888,2)</f>
        <v>2122012.04</v>
      </c>
      <c r="P890" s="853">
        <f t="shared" si="83"/>
        <v>2122012.04</v>
      </c>
      <c r="Q890" s="854">
        <f t="shared" si="83"/>
        <v>2646310.0299999998</v>
      </c>
      <c r="R890" s="853">
        <f t="shared" si="83"/>
        <v>2646310.0299999998</v>
      </c>
      <c r="S890" s="854">
        <f t="shared" si="83"/>
        <v>3069602.77</v>
      </c>
      <c r="T890" s="855">
        <f t="shared" si="83"/>
        <v>3069602.77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57">
        <f>+'TRIAL-BALANCE'!K10:L10</f>
        <v>44314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0" t="str">
        <f>+F10</f>
        <v>R A</v>
      </c>
      <c r="F12" s="2640"/>
      <c r="G12" s="1130" t="s">
        <v>1003</v>
      </c>
      <c r="H12" s="2632" t="str">
        <f>+'TRIAL-BALANCE'!H12:K12</f>
        <v>31 март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46" t="s">
        <v>202</v>
      </c>
      <c r="O13" s="1147">
        <f t="shared" ref="O13:T13" si="0">+O890</f>
        <v>9683624.4100000001</v>
      </c>
      <c r="P13" s="1148">
        <f t="shared" si="0"/>
        <v>9683624.4100000001</v>
      </c>
      <c r="Q13" s="1149">
        <f t="shared" si="0"/>
        <v>66505.11</v>
      </c>
      <c r="R13" s="1148">
        <f t="shared" si="0"/>
        <v>66505.11</v>
      </c>
      <c r="S13" s="1149">
        <f t="shared" si="0"/>
        <v>9661456.1199999992</v>
      </c>
      <c r="T13" s="1150">
        <f t="shared" si="0"/>
        <v>9661456.1199999992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656.37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656.37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2163114.1</v>
      </c>
      <c r="P15" s="324">
        <v>0</v>
      </c>
      <c r="Q15" s="325"/>
      <c r="R15" s="324"/>
      <c r="S15" s="326">
        <f>+IF(ABS(+O15+Q15)&gt;=ABS(P15+R15),+O15-P15+Q15-R15,0)</f>
        <v>2163114.1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1616660.69</v>
      </c>
      <c r="P73" s="582">
        <v>0</v>
      </c>
      <c r="Q73" s="589"/>
      <c r="R73" s="121"/>
      <c r="S73" s="583">
        <f t="shared" si="10"/>
        <v>1616660.69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106273.44</v>
      </c>
      <c r="P78" s="582">
        <v>0</v>
      </c>
      <c r="Q78" s="589"/>
      <c r="R78" s="121"/>
      <c r="S78" s="583">
        <f t="shared" si="10"/>
        <v>106273.44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4330345.22</v>
      </c>
      <c r="Q114" s="325"/>
      <c r="R114" s="324"/>
      <c r="S114" s="330">
        <v>0</v>
      </c>
      <c r="T114" s="327">
        <f>+IF(ABS(+O114+Q114)&lt;=ABS(P114+R114),-O114+P114-Q114+R114,0)</f>
        <v>4330345.22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454817.51</v>
      </c>
      <c r="P115" s="9">
        <v>0</v>
      </c>
      <c r="Q115" s="122"/>
      <c r="R115" s="324"/>
      <c r="S115" s="27">
        <f>+IF(ABS(+O115+Q115)&gt;=ABS(P115+R115),+O115-P115+Q115-R115,0)</f>
        <v>454817.51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454817.46</v>
      </c>
      <c r="Q186" s="589"/>
      <c r="R186" s="324"/>
      <c r="S186" s="579">
        <v>0</v>
      </c>
      <c r="T186" s="580">
        <f>+IF(ABS(+O186+Q186)&lt;=ABS(P186+R186),-O186+P186-Q186+R186,0)</f>
        <v>454817.46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12327.52</v>
      </c>
      <c r="Q202" s="589"/>
      <c r="R202" s="576"/>
      <c r="S202" s="583">
        <f t="shared" si="25"/>
        <v>0</v>
      </c>
      <c r="T202" s="580">
        <f t="shared" si="24"/>
        <v>12327.52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454817.46</v>
      </c>
      <c r="P274" s="576">
        <v>0</v>
      </c>
      <c r="Q274" s="589"/>
      <c r="R274" s="576"/>
      <c r="S274" s="583">
        <f t="shared" si="31"/>
        <v>454817.46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2463.37</v>
      </c>
      <c r="P296" s="9">
        <v>0</v>
      </c>
      <c r="Q296" s="122">
        <v>0.06</v>
      </c>
      <c r="R296" s="576"/>
      <c r="S296" s="583">
        <f t="shared" si="34"/>
        <v>2463.4299999999998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0.06</v>
      </c>
      <c r="S679" s="583">
        <f t="shared" si="65"/>
        <v>0</v>
      </c>
      <c r="T679" s="580">
        <f t="shared" si="66"/>
        <v>0.06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8" t="str">
        <f>+E12</f>
        <v>R A</v>
      </c>
      <c r="J829" s="2638"/>
      <c r="K829" s="2638"/>
      <c r="L829" s="96"/>
      <c r="M829" s="51"/>
      <c r="N829" s="128" t="s">
        <v>666</v>
      </c>
      <c r="O829" s="840">
        <f t="shared" ref="O829:T829" si="73">+ROUND(+SUM(O14:O828),2)</f>
        <v>4798146.57</v>
      </c>
      <c r="P829" s="841">
        <f t="shared" si="73"/>
        <v>4798146.57</v>
      </c>
      <c r="Q829" s="842">
        <f t="shared" si="73"/>
        <v>0.06</v>
      </c>
      <c r="R829" s="843">
        <f t="shared" si="73"/>
        <v>0.06</v>
      </c>
      <c r="S829" s="844">
        <f t="shared" si="73"/>
        <v>4798146.63</v>
      </c>
      <c r="T829" s="845">
        <f t="shared" si="73"/>
        <v>4798146.63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9" t="str">
        <f>+I829</f>
        <v>R A</v>
      </c>
      <c r="J831" s="2639"/>
      <c r="K831" s="263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475868.8</v>
      </c>
      <c r="Q835" s="589"/>
      <c r="R835" s="121"/>
      <c r="S835" s="29">
        <v>0</v>
      </c>
      <c r="T835" s="28">
        <f>+IF(ABS(+O835+Q835)&lt;=ABS(P835+R835),-O835+P835-Q835+R835,0)</f>
        <v>475868.8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>
        <v>477220.38</v>
      </c>
      <c r="P839" s="582">
        <v>0</v>
      </c>
      <c r="Q839" s="589">
        <v>22168.35</v>
      </c>
      <c r="R839" s="576">
        <v>44336.7</v>
      </c>
      <c r="S839" s="583">
        <f>+IF(ABS(+O839+Q839)&gt;=ABS(P839+R839),+O839-P839+Q839-R839,0)</f>
        <v>455052.02999999997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>
        <v>3932388.66</v>
      </c>
      <c r="Q848" s="589"/>
      <c r="R848" s="121"/>
      <c r="S848" s="579">
        <v>0</v>
      </c>
      <c r="T848" s="580">
        <f t="shared" ref="T848:T857" si="75">+IF(ABS(+O848+Q848)&lt;=ABS(P848+R848),-O848+P848-Q848+R848,0)</f>
        <v>3932388.66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477220.38</v>
      </c>
      <c r="Q886" s="589">
        <v>44336.7</v>
      </c>
      <c r="R886" s="121">
        <v>22168.35</v>
      </c>
      <c r="S886" s="579">
        <v>0</v>
      </c>
      <c r="T886" s="580">
        <f>+IF(ABS(+O886+Q886)&lt;=ABS(P886+R886),-O886+P886-Q886+R886,0)</f>
        <v>455052.02999999997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4408257.46</v>
      </c>
      <c r="P887" s="839">
        <v>0</v>
      </c>
      <c r="Q887" s="598"/>
      <c r="R887" s="597"/>
      <c r="S887" s="56">
        <f>+IF(ABS(+O887+Q887)&gt;=ABS(P887+R887),+O887-P887+Q887-R887,0)</f>
        <v>4408257.46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1" t="str">
        <f>+I831</f>
        <v>R A</v>
      </c>
      <c r="J888" s="2641"/>
      <c r="K888" s="2641"/>
      <c r="L888" s="105"/>
      <c r="M888" s="51"/>
      <c r="N888" s="117">
        <v>9</v>
      </c>
      <c r="O888" s="840">
        <f t="shared" ref="O888:T888" si="82">+ROUND(SUM(O831:O887),2)</f>
        <v>4885477.84</v>
      </c>
      <c r="P888" s="843">
        <f t="shared" si="82"/>
        <v>4885477.84</v>
      </c>
      <c r="Q888" s="842">
        <f t="shared" si="82"/>
        <v>66505.05</v>
      </c>
      <c r="R888" s="843">
        <f t="shared" si="82"/>
        <v>66505.05</v>
      </c>
      <c r="S888" s="844">
        <f t="shared" si="82"/>
        <v>4863309.49</v>
      </c>
      <c r="T888" s="845">
        <f t="shared" si="82"/>
        <v>4863309.49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7" t="str">
        <f>+I888</f>
        <v>R A</v>
      </c>
      <c r="J890" s="2637"/>
      <c r="K890" s="2637"/>
      <c r="L890" s="287"/>
      <c r="M890" s="51"/>
      <c r="N890" s="288" t="s">
        <v>665</v>
      </c>
      <c r="O890" s="430">
        <f t="shared" ref="O890:T890" si="83">+ROUND(+O829+O888,2)</f>
        <v>9683624.4100000001</v>
      </c>
      <c r="P890" s="431">
        <f t="shared" si="83"/>
        <v>9683624.4100000001</v>
      </c>
      <c r="Q890" s="432">
        <f t="shared" si="83"/>
        <v>66505.11</v>
      </c>
      <c r="R890" s="431">
        <f t="shared" si="83"/>
        <v>66505.11</v>
      </c>
      <c r="S890" s="432">
        <f t="shared" si="83"/>
        <v>9661456.1199999992</v>
      </c>
      <c r="T890" s="433">
        <f t="shared" si="83"/>
        <v>9661456.1199999992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57">
        <f>+'TRIAL-BALANCE'!K10:L10</f>
        <v>44314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46" t="str">
        <f>+F10</f>
        <v>D E S</v>
      </c>
      <c r="F12" s="2646"/>
      <c r="G12" s="1130" t="s">
        <v>1003</v>
      </c>
      <c r="H12" s="2632" t="str">
        <f>+'TRIAL-BALANCE'!H12:K12</f>
        <v>31 март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51" t="s">
        <v>202</v>
      </c>
      <c r="O13" s="1152">
        <f t="shared" ref="O13:T13" si="0">+O890</f>
        <v>21431.24</v>
      </c>
      <c r="P13" s="1153">
        <f t="shared" si="0"/>
        <v>21431.24</v>
      </c>
      <c r="Q13" s="1154">
        <f t="shared" si="0"/>
        <v>1176</v>
      </c>
      <c r="R13" s="1153">
        <f t="shared" si="0"/>
        <v>1176</v>
      </c>
      <c r="S13" s="1154">
        <f t="shared" si="0"/>
        <v>22215.24</v>
      </c>
      <c r="T13" s="1155">
        <f t="shared" si="0"/>
        <v>22215.24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9977.9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9977.9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11453.34</v>
      </c>
      <c r="Q186" s="589"/>
      <c r="R186" s="324"/>
      <c r="S186" s="579">
        <v>0</v>
      </c>
      <c r="T186" s="580">
        <f>+IF(ABS(+O186+Q186)&lt;=ABS(P186+R186),-O186+P186-Q186+R186,0)</f>
        <v>11453.34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9977.9</v>
      </c>
      <c r="P217" s="576">
        <v>0</v>
      </c>
      <c r="Q217" s="589"/>
      <c r="R217" s="576">
        <v>392</v>
      </c>
      <c r="S217" s="583">
        <f t="shared" si="25"/>
        <v>9585.9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11453.34</v>
      </c>
      <c r="P274" s="576">
        <v>0</v>
      </c>
      <c r="Q274" s="589"/>
      <c r="R274" s="576"/>
      <c r="S274" s="583">
        <f t="shared" si="31"/>
        <v>11453.34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392</v>
      </c>
      <c r="R451" s="576"/>
      <c r="S451" s="583">
        <f t="shared" si="51"/>
        <v>392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3" t="str">
        <f>+E12</f>
        <v>D E S</v>
      </c>
      <c r="J829" s="2643"/>
      <c r="K829" s="2643"/>
      <c r="L829" s="96"/>
      <c r="M829" s="51"/>
      <c r="N829" s="128" t="s">
        <v>666</v>
      </c>
      <c r="O829" s="858">
        <f t="shared" ref="O829:T829" si="73">+ROUND(+SUM(O14:O828),2)</f>
        <v>21431.24</v>
      </c>
      <c r="P829" s="860">
        <f t="shared" si="73"/>
        <v>21431.24</v>
      </c>
      <c r="Q829" s="859">
        <f t="shared" si="73"/>
        <v>392</v>
      </c>
      <c r="R829" s="860">
        <f t="shared" si="73"/>
        <v>392</v>
      </c>
      <c r="S829" s="861">
        <f t="shared" si="73"/>
        <v>21431.24</v>
      </c>
      <c r="T829" s="862">
        <f t="shared" si="73"/>
        <v>21431.24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4" t="str">
        <f>+I829</f>
        <v>D E S</v>
      </c>
      <c r="J831" s="2644"/>
      <c r="K831" s="264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392</v>
      </c>
      <c r="R850" s="576"/>
      <c r="S850" s="583">
        <f t="shared" si="76"/>
        <v>392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392</v>
      </c>
      <c r="S851" s="583">
        <f t="shared" si="76"/>
        <v>0</v>
      </c>
      <c r="T851" s="580">
        <f t="shared" si="75"/>
        <v>392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392</v>
      </c>
      <c r="S857" s="583">
        <f t="shared" si="76"/>
        <v>0</v>
      </c>
      <c r="T857" s="580">
        <f t="shared" si="75"/>
        <v>392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>
        <v>392</v>
      </c>
      <c r="R887" s="597"/>
      <c r="S887" s="56">
        <f>+IF(ABS(+O887+Q887)&gt;=ABS(P887+R887),+O887-P887+Q887-R887,0)</f>
        <v>392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5" t="str">
        <f>+I831</f>
        <v>D E S</v>
      </c>
      <c r="J888" s="2645"/>
      <c r="K888" s="264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784</v>
      </c>
      <c r="R888" s="860">
        <f t="shared" si="82"/>
        <v>784</v>
      </c>
      <c r="S888" s="861">
        <f t="shared" si="82"/>
        <v>784</v>
      </c>
      <c r="T888" s="862">
        <f t="shared" si="82"/>
        <v>784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2" t="str">
        <f>+I888</f>
        <v>D E S</v>
      </c>
      <c r="J890" s="2642"/>
      <c r="K890" s="2642"/>
      <c r="L890" s="287"/>
      <c r="M890" s="51"/>
      <c r="N890" s="288" t="s">
        <v>665</v>
      </c>
      <c r="O890" s="863">
        <f t="shared" ref="O890:T890" si="83">+ROUND(+O829+O888,2)</f>
        <v>21431.24</v>
      </c>
      <c r="P890" s="864">
        <f t="shared" si="83"/>
        <v>21431.24</v>
      </c>
      <c r="Q890" s="865">
        <f t="shared" si="83"/>
        <v>1176</v>
      </c>
      <c r="R890" s="864">
        <f t="shared" si="83"/>
        <v>1176</v>
      </c>
      <c r="S890" s="865">
        <f t="shared" si="83"/>
        <v>22215.24</v>
      </c>
      <c r="T890" s="866">
        <f t="shared" si="83"/>
        <v>22215.24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62">
        <f>+'TRIAL-BALANCE'!C6:E6</f>
        <v>413691</v>
      </c>
      <c r="D6" s="2463"/>
      <c r="E6" s="2464"/>
      <c r="F6" s="205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2415" t="s">
        <v>185</v>
      </c>
      <c r="P6" s="2416"/>
      <c r="Q6" s="2416"/>
      <c r="R6" s="2416"/>
      <c r="S6" s="2416"/>
      <c r="T6" s="2417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7"/>
      <c r="P7" s="2628"/>
      <c r="Q7" s="2628"/>
      <c r="R7" s="2628"/>
      <c r="S7" s="2628"/>
      <c r="T7" s="2629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57">
        <f>+'TRIAL-BALANCE'!K10:L10</f>
        <v>44314</v>
      </c>
      <c r="L10" s="2458"/>
      <c r="M10" s="49"/>
      <c r="N10" s="1577">
        <f>+C8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50" t="str">
        <f>+F10</f>
        <v>D M P</v>
      </c>
      <c r="F12" s="2650"/>
      <c r="G12" s="1130" t="s">
        <v>1003</v>
      </c>
      <c r="H12" s="2632" t="str">
        <f>+'TRIAL-BALANCE'!H12:K12</f>
        <v>31 март 2021 г.</v>
      </c>
      <c r="I12" s="2632"/>
      <c r="J12" s="2632"/>
      <c r="K12" s="2632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35">
        <f>+IF(V13=0,0,"ИМА грешни КРАЙНИ салда - виж колона V")</f>
        <v>0</v>
      </c>
      <c r="I13" s="2635"/>
      <c r="J13" s="2635"/>
      <c r="K13" s="2635"/>
      <c r="L13" s="2636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2155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2156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2157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48" t="str">
        <f>+E12</f>
        <v>D M P</v>
      </c>
      <c r="J829" s="2648"/>
      <c r="K829" s="2648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49" t="str">
        <f>+I829</f>
        <v>D M P</v>
      </c>
      <c r="J831" s="2649"/>
      <c r="K831" s="2649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51" t="str">
        <f>+I831</f>
        <v>D M P</v>
      </c>
      <c r="J888" s="2651"/>
      <c r="K888" s="2651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47" t="str">
        <f>+I888</f>
        <v>D M P</v>
      </c>
      <c r="J890" s="2647"/>
      <c r="K890" s="2647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2134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1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2179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1</v>
      </c>
      <c r="G174" s="1842">
        <v>0</v>
      </c>
      <c r="I174" s="2217">
        <f t="shared" si="13"/>
        <v>1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2023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2017</v>
      </c>
      <c r="C355" s="2099" t="s">
        <v>2018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2019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2020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2021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2022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1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>
      <selection activeCell="R8" sqref="R8:S8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88">
        <f>IF('Local-&amp;-SSF'!I6=0,+IF('Local-&amp;-SSF'!E6=0,0,IF(OR('TRIAL-BALANCE'!AM739&lt;&gt;0,'TRIAL-BALANCE'!AN739&lt;&gt;0),"Сметка 7500 не може да се ползва от общината!",0)),0)</f>
        <v>0</v>
      </c>
      <c r="C2" s="2388"/>
      <c r="D2" s="2388"/>
      <c r="E2" s="2388"/>
      <c r="F2" s="2388"/>
      <c r="G2" s="2388"/>
      <c r="H2" s="2388"/>
      <c r="I2" s="2388"/>
      <c r="J2" s="1379"/>
      <c r="K2" s="1379"/>
      <c r="L2" s="1379"/>
      <c r="M2" s="2096" t="str">
        <f>+IF($N2=0,0," ")</f>
        <v xml:space="preserve"> </v>
      </c>
      <c r="N2" s="2391" t="str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1. Началното нетно салдо на сметка 4684 не е равно на нула! Избери ДА или НЕ!</v>
      </c>
      <c r="O2" s="2391"/>
      <c r="P2" s="2391"/>
      <c r="Q2" s="2391"/>
      <c r="R2" s="2391"/>
      <c r="S2" s="2392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5" t="s">
        <v>1969</v>
      </c>
      <c r="C4" s="2396"/>
      <c r="D4" s="2396"/>
      <c r="E4" s="2396"/>
      <c r="F4" s="2396"/>
      <c r="G4" s="2396"/>
      <c r="H4" s="2396"/>
      <c r="I4" s="2397"/>
      <c r="J4" s="1379"/>
      <c r="K4" s="1387" t="s">
        <v>1256</v>
      </c>
      <c r="L4" s="1379"/>
      <c r="M4" s="2401" t="str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началното нетно салдо на с/ка 4684 трябва да е равно на нула - коригирай грешката!</v>
      </c>
      <c r="N4" s="2401"/>
      <c r="O4" s="2402"/>
      <c r="P4" s="1387" t="s">
        <v>1257</v>
      </c>
      <c r="Q4" s="2029"/>
      <c r="R4" s="2399" t="str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началното нетно салдо на с/ка 4684 е разчет с други общини</v>
      </c>
      <c r="S4" s="2400"/>
      <c r="T4" s="1384" t="str">
        <f>+IF(+P4="ДА","НЕ","ДА")</f>
        <v>ДА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 t="str">
        <f>+IF($N6=0,0," ")</f>
        <v xml:space="preserve"> </v>
      </c>
      <c r="N6" s="2393" t="str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2. Крайното нетно салдо на сметка 4684 не е равно на нула! Избери ДА или НЕ!</v>
      </c>
      <c r="O6" s="2393"/>
      <c r="P6" s="2393"/>
      <c r="Q6" s="2393"/>
      <c r="R6" s="2393"/>
      <c r="S6" s="2394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5" t="s">
        <v>2016</v>
      </c>
      <c r="C8" s="2396"/>
      <c r="D8" s="2396"/>
      <c r="E8" s="2396"/>
      <c r="F8" s="2396"/>
      <c r="G8" s="2396"/>
      <c r="H8" s="2396"/>
      <c r="I8" s="2397"/>
      <c r="J8" s="1379"/>
      <c r="K8" s="1384" t="str">
        <f>+IF(+K4="ДА","НЕ","ДА")</f>
        <v>НЕ</v>
      </c>
      <c r="L8" s="2112"/>
      <c r="M8" s="2401" t="str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крайното нетно салдо на с/ка 4684 трябва да е равно на нула - коригирай грешката!</v>
      </c>
      <c r="N8" s="2401"/>
      <c r="O8" s="2402"/>
      <c r="P8" s="1387" t="s">
        <v>1257</v>
      </c>
      <c r="Q8" s="2029"/>
      <c r="R8" s="2399" t="str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крайното нетно салдо на с/ка 4684 е разчет с други общини</v>
      </c>
      <c r="S8" s="2400"/>
      <c r="T8" s="1384" t="str">
        <f>+IF(+P8="ДА","НЕ","ДА")</f>
        <v>ДА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8">
        <f>+IF(AND(+ROUND(O13,2)=0,+ROUND(S13,2)=0),0,+IF($K$4="ДА","Нетното салдо на с/ка 4500 в БЮДЖЕТ не е равно на нула! Неравнението е в:",0))</f>
        <v>0</v>
      </c>
      <c r="C13" s="2398"/>
      <c r="D13" s="2398"/>
      <c r="E13" s="2398"/>
      <c r="F13" s="2398"/>
      <c r="G13" s="2398"/>
      <c r="H13" s="2398"/>
      <c r="I13" s="2398"/>
      <c r="J13" s="2398"/>
      <c r="K13" s="2398"/>
      <c r="L13" s="2398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0">
        <f>+IF(AND(+ROUND(O14,2)=0,+ROUND(S14,2)=0),0,+IF($K$4="ДА","Нетното салдо на с/ка 4500 в СЕС не е равно на нула! Неравнението е в:",0))</f>
        <v>0</v>
      </c>
      <c r="C14" s="2390"/>
      <c r="D14" s="2390"/>
      <c r="E14" s="2390"/>
      <c r="F14" s="2390"/>
      <c r="G14" s="2390"/>
      <c r="H14" s="2390"/>
      <c r="I14" s="2390"/>
      <c r="J14" s="2390"/>
      <c r="K14" s="2390"/>
      <c r="L14" s="2390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0">
        <f>+IF(AND(+ROUND(O15,2)=0,+ROUND(S15,2)=0),0,+IF($K$4="ДА","Нетното салдо на с/ка 4500 в ДСД не е равно на нула! Неравнението е в:",0))</f>
        <v>0</v>
      </c>
      <c r="C15" s="2390"/>
      <c r="D15" s="2390"/>
      <c r="E15" s="2390"/>
      <c r="F15" s="2390"/>
      <c r="G15" s="2390"/>
      <c r="H15" s="2390"/>
      <c r="I15" s="2390"/>
      <c r="J15" s="2390"/>
      <c r="K15" s="2390"/>
      <c r="L15" s="2390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0">
        <f>+IF(AND(+ROUND(O17,2)=0,+ROUND(S17,2)=0),0,+IF($K$4="ДА","Нетното салдо на с/ка 4501 не е равно на нула! Неравнението е в:",0))</f>
        <v>0</v>
      </c>
      <c r="C17" s="2390"/>
      <c r="D17" s="2390"/>
      <c r="E17" s="2390"/>
      <c r="F17" s="2390"/>
      <c r="G17" s="2390"/>
      <c r="H17" s="2390"/>
      <c r="I17" s="2390"/>
      <c r="J17" s="2390"/>
      <c r="K17" s="2390"/>
      <c r="L17" s="2390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0">
        <f>+IF(AND(+ROUND(O18,2)=0,+ROUND(S18,2)=0),0,+IF($K$4="ДА","Нетното салдо на с/ка 4502 не е равно на нула! Неравнението е в:",0))</f>
        <v>0</v>
      </c>
      <c r="C18" s="2390"/>
      <c r="D18" s="2390"/>
      <c r="E18" s="2390"/>
      <c r="F18" s="2390"/>
      <c r="G18" s="2390"/>
      <c r="H18" s="2390"/>
      <c r="I18" s="2390"/>
      <c r="J18" s="2390"/>
      <c r="K18" s="2390"/>
      <c r="L18" s="2390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0">
        <f>+IF(AND(+ROUND(O19,2)=0,+ROUND(S19,2)=0),0,+IF($K$4="ДА","Нетното салдо на с/ка 4503 не е равно на нула! Неравнението е в:",0))</f>
        <v>0</v>
      </c>
      <c r="C19" s="2390"/>
      <c r="D19" s="2390"/>
      <c r="E19" s="2390"/>
      <c r="F19" s="2390"/>
      <c r="G19" s="2390"/>
      <c r="H19" s="2390"/>
      <c r="I19" s="2390"/>
      <c r="J19" s="2390"/>
      <c r="K19" s="2390"/>
      <c r="L19" s="2390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403">
        <f>+IF('TRIAL-BALANCE'!AV13=0,0,"Грешни КРАЙНИ салда в БЮДЖЕТ")</f>
        <v>0</v>
      </c>
      <c r="S21" s="2403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0">
        <f>+IF(+ROUND(O22,2)=0,0,+IF($K$4="ДА","Нетното салдо на с/ка 7500 в СЕС не е равно на нула! Неравнението е в:",0))</f>
        <v>0</v>
      </c>
      <c r="C22" s="2390"/>
      <c r="D22" s="2390"/>
      <c r="E22" s="2390"/>
      <c r="F22" s="2390"/>
      <c r="G22" s="2390"/>
      <c r="H22" s="2390"/>
      <c r="I22" s="2390"/>
      <c r="J22" s="2390"/>
      <c r="K22" s="2390"/>
      <c r="L22" s="2390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403">
        <f>+IF('TRIAL-BALANCE'!AW13=0,0,"Грешни КРАЙНИ салда в СЕС")</f>
        <v>0</v>
      </c>
      <c r="S22" s="2403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0">
        <f>+IF(+ROUND(O23,2)=0,0,+IF($K$4="ДА","Нетното салдо на с/ка 7500 в ДСД не е равно на нула! Неравнението е в:",0))</f>
        <v>0</v>
      </c>
      <c r="C23" s="2390"/>
      <c r="D23" s="2390"/>
      <c r="E23" s="2390"/>
      <c r="F23" s="2390"/>
      <c r="G23" s="2390"/>
      <c r="H23" s="2390"/>
      <c r="I23" s="2390"/>
      <c r="J23" s="2390"/>
      <c r="K23" s="2390"/>
      <c r="L23" s="2390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404">
        <f>+IF(+'NF-KSF-TRIAL-BAL-2021'!V13=0,0,"Грешни КРАЙНИ салда в СЕС - NF-CSF")</f>
        <v>0</v>
      </c>
      <c r="S23" s="240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5">
        <f>+IF(AND(R23=0,R25=0),0," ")</f>
        <v>0</v>
      </c>
      <c r="S24" s="240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404">
        <f>+IF(+'RA-TRIAL-BAL-2021'!V13=0,0,"Грешни КРАЙНИ салда в СЕС - RA")</f>
        <v>0</v>
      </c>
      <c r="S25" s="240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0">
        <f>+IF(+ROUND(O26,2)=0,0,+IF($K$4="ДА","Нетното салдо на с/ка 7501 в СЕС не е равно на нула! Неравнението е в:",0))</f>
        <v>0</v>
      </c>
      <c r="C26" s="2390"/>
      <c r="D26" s="2390"/>
      <c r="E26" s="2390"/>
      <c r="F26" s="2390"/>
      <c r="G26" s="2390"/>
      <c r="H26" s="2390"/>
      <c r="I26" s="2390"/>
      <c r="J26" s="2390"/>
      <c r="K26" s="2390"/>
      <c r="L26" s="2390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404">
        <f>+IF(+'DES-TRIAL-BAL-2021'!V13=0,0,"Грешни КРАЙНИ салда в СЕС - DES")</f>
        <v>0</v>
      </c>
      <c r="S26" s="240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90">
        <f>+IF(+ROUND(O27,2)=0,0,+IF($K$4="ДА","Нетното салдо на с/ка 7501 в ДСД не е равно на нула! Неравнението е в:",0))</f>
        <v>0</v>
      </c>
      <c r="C27" s="2390"/>
      <c r="D27" s="2390"/>
      <c r="E27" s="2390"/>
      <c r="F27" s="2390"/>
      <c r="G27" s="2390"/>
      <c r="H27" s="2390"/>
      <c r="I27" s="2390"/>
      <c r="J27" s="2390"/>
      <c r="K27" s="2390"/>
      <c r="L27" s="2390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404">
        <f>+IF(+'DMP-TRIAL-BAL-2021'!V13=0,0,"Грешни КРАЙНИ салда в СЕС - DMP")</f>
        <v>0</v>
      </c>
      <c r="S27" s="240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403">
        <f>+IF('TRIAL-BALANCE'!AX13=0,0,"Грешни КРАЙНИ салда в ДСД")</f>
        <v>0</v>
      </c>
      <c r="S29" s="2403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90">
        <f>+IF(+ROUND(O30,2)=0,0,+IF($K$4="ДА","Нетното салдо на с/ка 7502 в СЕС не е равно на нула! Неравнението е в:",0))</f>
        <v>0</v>
      </c>
      <c r="C30" s="2390"/>
      <c r="D30" s="2390"/>
      <c r="E30" s="2390"/>
      <c r="F30" s="2390"/>
      <c r="G30" s="2390"/>
      <c r="H30" s="2390"/>
      <c r="I30" s="2390"/>
      <c r="J30" s="2390"/>
      <c r="K30" s="2390"/>
      <c r="L30" s="2390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90">
        <f>+IF(+ROUND(O31,2)=0,0,+IF($K$4="ДА","Нетното салдо на с/ка 7502 в ДСД не е равно на нула! Неравнението е в:",0))</f>
        <v>0</v>
      </c>
      <c r="C31" s="2390"/>
      <c r="D31" s="2390"/>
      <c r="E31" s="2390"/>
      <c r="F31" s="2390"/>
      <c r="G31" s="2390"/>
      <c r="H31" s="2390"/>
      <c r="I31" s="2390"/>
      <c r="J31" s="2390"/>
      <c r="K31" s="2390"/>
      <c r="L31" s="2390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403">
        <f>IF(ROUND('TRIAL-BALANCE'!O13,2)=ROUND('TRIAL-BALANCE'!P13,2),0,"Грешни НАЧАЛНИ салда в БЮДЖЕТ")</f>
        <v>0</v>
      </c>
      <c r="S31" s="2403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403">
        <f>IF(ROUND('TRIAL-BALANCE'!V13,2)=ROUND('TRIAL-BALANCE'!W13,2),0,"Грешни НАЧАЛНИ салда в СЕС")</f>
        <v>0</v>
      </c>
      <c r="S33" s="2403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90">
        <f>+IF(+ROUND(O34,2)=0,0,+IF($K$4="ДА","Нетното салдо на с/ка 7600 в СЕС не е равно на нула! Неравнението е в:",0))</f>
        <v>0</v>
      </c>
      <c r="C34" s="2390"/>
      <c r="D34" s="2390"/>
      <c r="E34" s="2390"/>
      <c r="F34" s="2390"/>
      <c r="G34" s="2390"/>
      <c r="H34" s="2390"/>
      <c r="I34" s="2390"/>
      <c r="J34" s="2390"/>
      <c r="K34" s="2390"/>
      <c r="L34" s="2390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404">
        <f>+IF(ROUND('NF-KSF-TRIAL-BAL-2021'!O13,2)=ROUND('NF-KSF-TRIAL-BAL-2021'!P13,2),0,"Грешни НАЧАЛНИ салда в СЕС - NF-CSF")</f>
        <v>0</v>
      </c>
      <c r="S34" s="240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90">
        <f>+IF(+ROUND(O35,2)=0,0,+IF($K$4="ДА","Нетното салдо на с/ка 7600 в ДСД не е равно на нула! Неравнението е в:",0))</f>
        <v>0</v>
      </c>
      <c r="C35" s="2390"/>
      <c r="D35" s="2390"/>
      <c r="E35" s="2390"/>
      <c r="F35" s="2390"/>
      <c r="G35" s="2390"/>
      <c r="H35" s="2390"/>
      <c r="I35" s="2390"/>
      <c r="J35" s="2390"/>
      <c r="K35" s="2390"/>
      <c r="L35" s="2390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404">
        <f>+IF(ROUND('RA-TRIAL-BAL-2021'!O13,2)=ROUND('RA-TRIAL-BAL-2021'!P13,2),0,"Грешни НАЧАЛНИ салда в СЕС - RA")</f>
        <v>0</v>
      </c>
      <c r="S35" s="240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5">
        <f>+IF(AND(R35=0,R37=0),0," ")</f>
        <v>0</v>
      </c>
      <c r="S36" s="240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90">
        <f>+IF(+ROUND(O37,2)=0,0,+IF($K$4="ДА","Нетното салдо на с/ка 7601 не е равно на нула! Неравнението е в:",0))</f>
        <v>0</v>
      </c>
      <c r="C37" s="2390"/>
      <c r="D37" s="2390"/>
      <c r="E37" s="2390"/>
      <c r="F37" s="2390"/>
      <c r="G37" s="2390"/>
      <c r="H37" s="2390"/>
      <c r="I37" s="2390"/>
      <c r="J37" s="2390"/>
      <c r="K37" s="2390"/>
      <c r="L37" s="2390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404">
        <f>+IF(ROUND('DES-TRIAL-BAL-2021'!O13,2)=ROUND('DES-TRIAL-BAL-2021'!P13,2),0,"Грешни НАЧАЛНИ салда в СЕС - DES")</f>
        <v>0</v>
      </c>
      <c r="S37" s="240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90">
        <f>+IF(+ROUND(O38,2)=0,0,+IF($K$4="ДА","Нетното салдо на с/ка 7602 не е равно на нула! Неравнението е в:",0))</f>
        <v>0</v>
      </c>
      <c r="C38" s="2390"/>
      <c r="D38" s="2390"/>
      <c r="E38" s="2390"/>
      <c r="F38" s="2390"/>
      <c r="G38" s="2390"/>
      <c r="H38" s="2390"/>
      <c r="I38" s="2390"/>
      <c r="J38" s="2390"/>
      <c r="K38" s="2390"/>
      <c r="L38" s="2390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404">
        <f>+IF(ROUND('DMP-TRIAL-BAL-2021'!O13,2)=ROUND('DMP-TRIAL-BAL-2021'!P13,2),0,"Грешни НАЧАЛНИ салда в СЕС - DMP")</f>
        <v>0</v>
      </c>
      <c r="S38" s="240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90">
        <f>+IF(+ROUND(O39,2)=0,0,+IF($K$4="ДА","Нетното салдо на с/ка 7603 не е равно на нула! Неравнението е в:",0))</f>
        <v>0</v>
      </c>
      <c r="C39" s="2390"/>
      <c r="D39" s="2390"/>
      <c r="E39" s="2390"/>
      <c r="F39" s="2390"/>
      <c r="G39" s="2390"/>
      <c r="H39" s="2390"/>
      <c r="I39" s="2390"/>
      <c r="J39" s="2390"/>
      <c r="K39" s="2390"/>
      <c r="L39" s="2390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403">
        <f>IF(ROUND('TRIAL-BALANCE'!AC13,2)=ROUND('TRIAL-BALANCE'!AD13,2),0,"Грешни НАЧАЛНИ салда в ДСД")</f>
        <v>0</v>
      </c>
      <c r="S39" s="2403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15:L15"/>
    <mergeCell ref="B21:L21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zoomScaleNormal="100" workbookViewId="0">
      <pane xSplit="12" ySplit="13" topLeftCell="M1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L32" sqref="L32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436" t="s">
        <v>2307</v>
      </c>
      <c r="F2" s="2437"/>
      <c r="G2" s="2437"/>
      <c r="H2" s="2437"/>
      <c r="I2" s="2437"/>
      <c r="J2" s="2437"/>
      <c r="K2" s="2437"/>
      <c r="L2" s="2438"/>
      <c r="M2" s="46"/>
      <c r="N2" s="1950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54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54"/>
      <c r="B4" s="2454"/>
      <c r="C4" s="2454"/>
      <c r="D4" s="2449"/>
      <c r="E4" s="2450"/>
      <c r="F4" s="1917" t="s">
        <v>1950</v>
      </c>
      <c r="G4" s="2451" t="s">
        <v>2308</v>
      </c>
      <c r="H4" s="2452"/>
      <c r="I4" s="2452"/>
      <c r="J4" s="2452"/>
      <c r="K4" s="2452"/>
      <c r="L4" s="2453"/>
      <c r="M4" s="47"/>
      <c r="N4" s="1950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39">
        <v>413691</v>
      </c>
      <c r="D6" s="2440"/>
      <c r="E6" s="2441"/>
      <c r="F6" s="442" t="s">
        <v>534</v>
      </c>
      <c r="G6" s="2442"/>
      <c r="H6" s="2443"/>
      <c r="I6" s="2443"/>
      <c r="J6" s="2443"/>
      <c r="K6" s="2443"/>
      <c r="L6" s="2444"/>
      <c r="M6" s="48"/>
      <c r="N6" s="111"/>
      <c r="O6" s="2421" t="s">
        <v>1118</v>
      </c>
      <c r="P6" s="2422"/>
      <c r="Q6" s="2422"/>
      <c r="R6" s="2422"/>
      <c r="S6" s="2422"/>
      <c r="T6" s="2423"/>
      <c r="U6" s="48"/>
      <c r="V6" s="2415" t="s">
        <v>185</v>
      </c>
      <c r="W6" s="2416"/>
      <c r="X6" s="2416"/>
      <c r="Y6" s="2416"/>
      <c r="Z6" s="2416"/>
      <c r="AA6" s="2417"/>
      <c r="AB6" s="48"/>
      <c r="AC6" s="2427" t="s">
        <v>160</v>
      </c>
      <c r="AD6" s="2428"/>
      <c r="AE6" s="2428"/>
      <c r="AF6" s="2428"/>
      <c r="AG6" s="2428"/>
      <c r="AH6" s="2429"/>
      <c r="AI6" s="48"/>
      <c r="AJ6" s="204"/>
      <c r="AK6" s="2433" t="str">
        <f>+E2</f>
        <v>ОБЩИНА ГУЛЯНЦИ</v>
      </c>
      <c r="AL6" s="2412"/>
      <c r="AM6" s="2412"/>
      <c r="AN6" s="1557" t="s">
        <v>194</v>
      </c>
      <c r="AO6" s="2412" t="str">
        <f>+H12</f>
        <v>31 март 2021 г.</v>
      </c>
      <c r="AP6" s="241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24"/>
      <c r="P7" s="2425"/>
      <c r="Q7" s="2425"/>
      <c r="R7" s="2425"/>
      <c r="S7" s="2425"/>
      <c r="T7" s="2426"/>
      <c r="U7" s="421"/>
      <c r="V7" s="2418"/>
      <c r="W7" s="2419"/>
      <c r="X7" s="2419"/>
      <c r="Y7" s="2419"/>
      <c r="Z7" s="2419"/>
      <c r="AA7" s="2420"/>
      <c r="AB7" s="45"/>
      <c r="AC7" s="2430"/>
      <c r="AD7" s="2431"/>
      <c r="AE7" s="2431"/>
      <c r="AF7" s="2431"/>
      <c r="AG7" s="2431"/>
      <c r="AH7" s="2432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>
        <v>6502</v>
      </c>
      <c r="D8" s="199" t="s">
        <v>1137</v>
      </c>
      <c r="E8" s="964">
        <v>2021</v>
      </c>
      <c r="F8" s="443" t="s">
        <v>1204</v>
      </c>
      <c r="G8" s="2445">
        <v>65612171</v>
      </c>
      <c r="H8" s="2446"/>
      <c r="I8" s="1269" t="s">
        <v>1206</v>
      </c>
      <c r="J8" s="2447"/>
      <c r="K8" s="2448"/>
      <c r="L8" s="2448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2036</v>
      </c>
      <c r="AS8" s="1111"/>
      <c r="AT8" s="1112"/>
      <c r="AU8" s="43"/>
      <c r="AV8" s="2414">
        <f>+IF(AND(+AV13=0,AW13=0,AX13=0),0,"КОНТРОЛА - НАЛИЧИЕ И БРОЙ  НА ГРЕШНИ КРАЙНИ САЛДА")</f>
        <v>0</v>
      </c>
      <c r="AW8" s="2414"/>
      <c r="AX8" s="2414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09">
        <v>44314</v>
      </c>
      <c r="L10" s="2410"/>
      <c r="M10" s="48"/>
      <c r="N10" s="1571">
        <f>+$C8</f>
        <v>6502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6502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55" t="str">
        <f>+F10</f>
        <v>/СБОРНА/</v>
      </c>
      <c r="F12" s="2455"/>
      <c r="G12" s="1070" t="s">
        <v>1003</v>
      </c>
      <c r="H12" s="2411" t="s">
        <v>2187</v>
      </c>
      <c r="I12" s="2411"/>
      <c r="J12" s="2411"/>
      <c r="K12" s="2411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2083</v>
      </c>
      <c r="AS12" s="2175" t="s">
        <v>196</v>
      </c>
      <c r="AT12" s="2176" t="s">
        <v>2082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34">
        <f>+IF(AND(AV13=0,AW13=0,AX13=0),0,"ИМА грешни КРАЙНИ салда - виж колони AV:AX")</f>
        <v>0</v>
      </c>
      <c r="I13" s="2434"/>
      <c r="J13" s="2434"/>
      <c r="K13" s="2434"/>
      <c r="L13" s="2435"/>
      <c r="M13" s="49"/>
      <c r="N13" s="1075" t="s">
        <v>202</v>
      </c>
      <c r="O13" s="1076">
        <f t="shared" ref="O13:T13" si="0">+O890</f>
        <v>24204512.77</v>
      </c>
      <c r="P13" s="1077">
        <f t="shared" si="0"/>
        <v>24204512.77</v>
      </c>
      <c r="Q13" s="1078">
        <f t="shared" si="0"/>
        <v>21578691.760000002</v>
      </c>
      <c r="R13" s="1077">
        <f t="shared" si="0"/>
        <v>21578691.760000002</v>
      </c>
      <c r="S13" s="1078">
        <f t="shared" si="0"/>
        <v>32541785.620000001</v>
      </c>
      <c r="T13" s="1079">
        <f t="shared" si="0"/>
        <v>32541785.620000001</v>
      </c>
      <c r="U13" s="344"/>
      <c r="V13" s="1080">
        <f t="shared" ref="V13:AA13" si="1">+V890</f>
        <v>11827067.689999999</v>
      </c>
      <c r="W13" s="1081">
        <f t="shared" si="1"/>
        <v>11827067.689999999</v>
      </c>
      <c r="X13" s="1082">
        <f t="shared" si="1"/>
        <v>2713991.14</v>
      </c>
      <c r="Y13" s="1081">
        <f t="shared" si="1"/>
        <v>2713991.14</v>
      </c>
      <c r="Z13" s="1082">
        <f t="shared" si="1"/>
        <v>12753274.130000001</v>
      </c>
      <c r="AA13" s="1083">
        <f t="shared" si="1"/>
        <v>12753274.130000001</v>
      </c>
      <c r="AB13" s="344"/>
      <c r="AC13" s="1084">
        <f t="shared" ref="AC13:AH13" si="2">+AC890</f>
        <v>65153601.780000001</v>
      </c>
      <c r="AD13" s="1085">
        <f t="shared" si="2"/>
        <v>65153601.780000001</v>
      </c>
      <c r="AE13" s="1086">
        <f t="shared" si="2"/>
        <v>804245.54</v>
      </c>
      <c r="AF13" s="1085">
        <f t="shared" si="2"/>
        <v>804245.54</v>
      </c>
      <c r="AG13" s="1086">
        <f t="shared" si="2"/>
        <v>65702697.420000002</v>
      </c>
      <c r="AH13" s="1087">
        <f t="shared" si="2"/>
        <v>65702697.420000002</v>
      </c>
      <c r="AI13" s="49"/>
      <c r="AJ13" s="1520" t="s">
        <v>202</v>
      </c>
      <c r="AK13" s="1521">
        <f t="shared" ref="AK13:AP13" si="3">+AK890</f>
        <v>101185182.23999999</v>
      </c>
      <c r="AL13" s="1522">
        <f t="shared" si="3"/>
        <v>101185182.23999999</v>
      </c>
      <c r="AM13" s="1523">
        <f t="shared" si="3"/>
        <v>25096928.440000001</v>
      </c>
      <c r="AN13" s="1522">
        <f t="shared" si="3"/>
        <v>25096928.440000001</v>
      </c>
      <c r="AO13" s="1523">
        <f t="shared" si="3"/>
        <v>110997757.17</v>
      </c>
      <c r="AP13" s="1524">
        <f t="shared" si="3"/>
        <v>110997757.17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12969320.109999999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12969320.109999999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7499.05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7499.05</v>
      </c>
      <c r="AB14" s="51"/>
      <c r="AC14" s="323"/>
      <c r="AD14" s="324">
        <v>18726.54</v>
      </c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18726.54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12995545.699999999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12995545.699999999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2187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3068237.54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3068237.54</v>
      </c>
      <c r="U15" s="51"/>
      <c r="V15" s="541">
        <f>+'NF-KSF-TRIAL-BAL-2021'!O15+'RA-TRIAL-BAL-2021'!O15+'DES-TRIAL-BAL-2021'!O15+'DMP-TRIAL-BAL-2021'!O15</f>
        <v>2163114.1</v>
      </c>
      <c r="W15" s="529">
        <f>+'NF-KSF-TRIAL-BAL-2021'!P15+'RA-TRIAL-BAL-2021'!P15+'DES-TRIAL-BAL-2021'!P15+'DMP-TRIAL-BAL-2021'!P15</f>
        <v>333682.29000000004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2163114.1</v>
      </c>
      <c r="AA15" s="347">
        <f>+'NF-KSF-TRIAL-BAL-2021'!T15+'RA-TRIAL-BAL-2021'!T15+'DES-TRIAL-BAL-2021'!T15+'DMP-TRIAL-BAL-2021'!T15</f>
        <v>333682.29000000004</v>
      </c>
      <c r="AB15" s="51"/>
      <c r="AC15" s="323"/>
      <c r="AD15" s="324">
        <v>58206177.030000001</v>
      </c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58206177.030000001</v>
      </c>
      <c r="AI15" s="51"/>
      <c r="AJ15" s="1497">
        <f t="shared" si="4"/>
        <v>1101</v>
      </c>
      <c r="AK15" s="951">
        <f t="shared" ref="AK15:AN25" si="9">+ROUND(+O15+V15+AC15,2)</f>
        <v>2163114.1</v>
      </c>
      <c r="AL15" s="970">
        <f t="shared" si="9"/>
        <v>61608096.859999999</v>
      </c>
      <c r="AM15" s="326">
        <f t="shared" si="9"/>
        <v>0</v>
      </c>
      <c r="AN15" s="970">
        <f t="shared" si="9"/>
        <v>0</v>
      </c>
      <c r="AO15" s="326">
        <f>+S15+Z15+AG15</f>
        <v>2163114.1</v>
      </c>
      <c r="AP15" s="28">
        <f>+T15+AA15+AH15</f>
        <v>61608096.859999999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2188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2189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2190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2191</v>
      </c>
      <c r="BA19" s="2305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2192</v>
      </c>
      <c r="BA20" s="2307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2193</v>
      </c>
      <c r="BA22" s="2305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2194</v>
      </c>
      <c r="BA23" s="2307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2195</v>
      </c>
      <c r="BA25" s="2305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2196</v>
      </c>
      <c r="BA26" s="2307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2197</v>
      </c>
      <c r="BA28" s="2305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2198</v>
      </c>
      <c r="BA29" s="2307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736833.39</v>
      </c>
      <c r="P71" s="329">
        <v>0</v>
      </c>
      <c r="Q71" s="325"/>
      <c r="R71" s="324"/>
      <c r="S71" s="326">
        <f t="shared" ref="S71:S89" si="34">+IF(ABS(+O71+Q71)&gt;=ABS(P71+R71),+O71-P71+Q71-R71,0)</f>
        <v>736833.39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736833.39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736833.39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3821685.53</v>
      </c>
      <c r="P73" s="9">
        <v>0</v>
      </c>
      <c r="Q73" s="325"/>
      <c r="R73" s="324"/>
      <c r="S73" s="27">
        <f t="shared" si="34"/>
        <v>3821685.53</v>
      </c>
      <c r="T73" s="30">
        <v>0</v>
      </c>
      <c r="U73" s="51"/>
      <c r="V73" s="541">
        <f>+'NF-KSF-TRIAL-BAL-2021'!O73+'RA-TRIAL-BAL-2021'!O73+'DES-TRIAL-BAL-2021'!O73+'DMP-TRIAL-BAL-2021'!O73</f>
        <v>1630660.69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1630660.69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5452346.2199999997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5452346.2199999997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>
        <v>17113</v>
      </c>
      <c r="P74" s="9">
        <v>0</v>
      </c>
      <c r="Q74" s="325"/>
      <c r="R74" s="324"/>
      <c r="S74" s="27">
        <f t="shared" si="34"/>
        <v>17113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17113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17113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>
        <v>1169365.75</v>
      </c>
      <c r="P76" s="9">
        <v>0</v>
      </c>
      <c r="Q76" s="325"/>
      <c r="R76" s="324"/>
      <c r="S76" s="27">
        <f t="shared" si="34"/>
        <v>1169365.75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1169365.75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1169365.75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291225.96999999997</v>
      </c>
      <c r="P77" s="9">
        <v>0</v>
      </c>
      <c r="Q77" s="325">
        <v>11808.8</v>
      </c>
      <c r="R77" s="324"/>
      <c r="S77" s="27">
        <f t="shared" si="34"/>
        <v>303034.76999999996</v>
      </c>
      <c r="T77" s="30">
        <v>0</v>
      </c>
      <c r="U77" s="51"/>
      <c r="V77" s="541">
        <f>+'NF-KSF-TRIAL-BAL-2021'!O77+'RA-TRIAL-BAL-2021'!O77+'DES-TRIAL-BAL-2021'!O77+'DMP-TRIAL-BAL-2021'!O77</f>
        <v>58091.99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58091.99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349317.96</v>
      </c>
      <c r="AL77" s="9">
        <v>0</v>
      </c>
      <c r="AM77" s="326">
        <f t="shared" si="39"/>
        <v>11808.8</v>
      </c>
      <c r="AN77" s="970">
        <f t="shared" si="39"/>
        <v>0</v>
      </c>
      <c r="AO77" s="326">
        <f t="shared" si="35"/>
        <v>361126.75999999995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7072442.2699999996</v>
      </c>
      <c r="P78" s="9">
        <v>0</v>
      </c>
      <c r="Q78" s="325">
        <v>3000.59</v>
      </c>
      <c r="R78" s="324"/>
      <c r="S78" s="27">
        <f t="shared" si="34"/>
        <v>7075442.8599999994</v>
      </c>
      <c r="T78" s="30">
        <v>0</v>
      </c>
      <c r="U78" s="51"/>
      <c r="V78" s="541">
        <f>+'NF-KSF-TRIAL-BAL-2021'!O78+'RA-TRIAL-BAL-2021'!O78+'DES-TRIAL-BAL-2021'!O78+'DMP-TRIAL-BAL-2021'!O78</f>
        <v>106273.44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106273.44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7178715.71</v>
      </c>
      <c r="AL78" s="9">
        <v>0</v>
      </c>
      <c r="AM78" s="326">
        <f t="shared" si="39"/>
        <v>3000.59</v>
      </c>
      <c r="AN78" s="970">
        <f t="shared" si="39"/>
        <v>0</v>
      </c>
      <c r="AO78" s="326">
        <f t="shared" si="35"/>
        <v>7181716.2999999998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>
        <v>175147.8</v>
      </c>
      <c r="P79" s="9">
        <v>0</v>
      </c>
      <c r="Q79" s="325"/>
      <c r="R79" s="324"/>
      <c r="S79" s="27">
        <f t="shared" si="34"/>
        <v>175147.8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175147.8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175147.8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995736.67</v>
      </c>
      <c r="P80" s="9">
        <v>0</v>
      </c>
      <c r="Q80" s="325">
        <v>65460</v>
      </c>
      <c r="R80" s="324"/>
      <c r="S80" s="27">
        <f t="shared" si="34"/>
        <v>1061196.67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995736.67</v>
      </c>
      <c r="AL80" s="9">
        <v>0</v>
      </c>
      <c r="AM80" s="326">
        <f t="shared" si="39"/>
        <v>65460</v>
      </c>
      <c r="AN80" s="970">
        <f t="shared" si="39"/>
        <v>0</v>
      </c>
      <c r="AO80" s="326">
        <f t="shared" si="35"/>
        <v>1061196.67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201018.93</v>
      </c>
      <c r="P81" s="9">
        <v>0</v>
      </c>
      <c r="Q81" s="325"/>
      <c r="R81" s="324"/>
      <c r="S81" s="27">
        <f t="shared" si="34"/>
        <v>201018.93</v>
      </c>
      <c r="T81" s="30">
        <v>0</v>
      </c>
      <c r="U81" s="51"/>
      <c r="V81" s="541">
        <f>+'NF-KSF-TRIAL-BAL-2021'!O81+'RA-TRIAL-BAL-2021'!O81+'DES-TRIAL-BAL-2021'!O81+'DMP-TRIAL-BAL-2021'!O81</f>
        <v>1308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1308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202326.93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202326.93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6600</v>
      </c>
      <c r="P82" s="9">
        <v>0</v>
      </c>
      <c r="Q82" s="325"/>
      <c r="R82" s="324"/>
      <c r="S82" s="27">
        <f t="shared" si="34"/>
        <v>6600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>
        <v>20000</v>
      </c>
      <c r="AD82" s="9">
        <v>0</v>
      </c>
      <c r="AE82" s="122"/>
      <c r="AF82" s="324"/>
      <c r="AG82" s="27">
        <f t="shared" si="37"/>
        <v>20000</v>
      </c>
      <c r="AH82" s="30">
        <v>0</v>
      </c>
      <c r="AI82" s="51"/>
      <c r="AJ82" s="1497">
        <f t="shared" si="45"/>
        <v>2071</v>
      </c>
      <c r="AK82" s="951">
        <f t="shared" si="38"/>
        <v>26600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26600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>
        <v>2799705.69</v>
      </c>
      <c r="AD83" s="9">
        <v>0</v>
      </c>
      <c r="AE83" s="122"/>
      <c r="AF83" s="324"/>
      <c r="AG83" s="27">
        <f t="shared" si="37"/>
        <v>2799705.69</v>
      </c>
      <c r="AH83" s="30">
        <v>0</v>
      </c>
      <c r="AI83" s="51"/>
      <c r="AJ83" s="1497">
        <f t="shared" si="45"/>
        <v>2079</v>
      </c>
      <c r="AK83" s="951">
        <f t="shared" si="38"/>
        <v>2799705.69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2799705.69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3370</v>
      </c>
      <c r="P85" s="9">
        <v>0</v>
      </c>
      <c r="Q85" s="325"/>
      <c r="R85" s="324"/>
      <c r="S85" s="27">
        <f t="shared" si="34"/>
        <v>3370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3370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3370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95034.59</v>
      </c>
      <c r="P86" s="9">
        <v>0</v>
      </c>
      <c r="Q86" s="325"/>
      <c r="R86" s="324"/>
      <c r="S86" s="27">
        <f t="shared" si="34"/>
        <v>95034.59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95034.59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95034.59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128985.52</v>
      </c>
      <c r="P89" s="9">
        <v>0</v>
      </c>
      <c r="Q89" s="325"/>
      <c r="R89" s="324"/>
      <c r="S89" s="27">
        <f t="shared" si="34"/>
        <v>128985.52</v>
      </c>
      <c r="T89" s="30">
        <v>0</v>
      </c>
      <c r="U89" s="51"/>
      <c r="V89" s="541">
        <f>+'NF-KSF-TRIAL-BAL-2021'!O89+'RA-TRIAL-BAL-2021'!O89+'DES-TRIAL-BAL-2021'!O89+'DMP-TRIAL-BAL-2021'!O89</f>
        <v>6968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6968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135953.51999999999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135953.52000000002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>
        <v>30727061.109999999</v>
      </c>
      <c r="AD90" s="582">
        <v>0</v>
      </c>
      <c r="AE90" s="122"/>
      <c r="AF90" s="324"/>
      <c r="AG90" s="583">
        <f t="shared" si="37"/>
        <v>30727061.109999999</v>
      </c>
      <c r="AH90" s="584">
        <v>0</v>
      </c>
      <c r="AI90" s="51"/>
      <c r="AJ90" s="1497">
        <f t="shared" si="45"/>
        <v>2201</v>
      </c>
      <c r="AK90" s="951">
        <f t="shared" si="38"/>
        <v>30727061.109999999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30727061.109999999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>
        <v>30993767.010000002</v>
      </c>
      <c r="AD91" s="582">
        <v>0</v>
      </c>
      <c r="AE91" s="325"/>
      <c r="AF91" s="324"/>
      <c r="AG91" s="583">
        <f t="shared" si="37"/>
        <v>30993767.010000002</v>
      </c>
      <c r="AH91" s="584">
        <v>0</v>
      </c>
      <c r="AI91" s="51"/>
      <c r="AJ91" s="1497">
        <f t="shared" si="45"/>
        <v>2202</v>
      </c>
      <c r="AK91" s="951">
        <f t="shared" si="38"/>
        <v>30993767.010000002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30993767.010000002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193893.05</v>
      </c>
      <c r="Q95" s="325"/>
      <c r="R95" s="324">
        <v>12523.11</v>
      </c>
      <c r="S95" s="29">
        <v>0</v>
      </c>
      <c r="T95" s="28">
        <f t="shared" si="47"/>
        <v>206416.15999999997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193893.05</v>
      </c>
      <c r="AM95" s="837">
        <f t="shared" ref="AM95:AM101" si="51">+ROUND(+Q95+X95+AE95,2)</f>
        <v>0</v>
      </c>
      <c r="AN95" s="2135">
        <f t="shared" ref="AN95:AN101" si="52">+ROUND(+R95+Y95+AF95,2)</f>
        <v>12523.11</v>
      </c>
      <c r="AO95" s="29">
        <v>0</v>
      </c>
      <c r="AP95" s="28">
        <f t="shared" si="49"/>
        <v>206416.15999999997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2112859.0299999998</v>
      </c>
      <c r="Q96" s="325"/>
      <c r="R96" s="324">
        <v>133350.37</v>
      </c>
      <c r="S96" s="29">
        <v>0</v>
      </c>
      <c r="T96" s="28">
        <f t="shared" si="47"/>
        <v>2246209.4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2112859.0299999998</v>
      </c>
      <c r="AM96" s="837">
        <f t="shared" si="51"/>
        <v>0</v>
      </c>
      <c r="AN96" s="2135">
        <f t="shared" si="52"/>
        <v>133350.37</v>
      </c>
      <c r="AO96" s="29">
        <v>0</v>
      </c>
      <c r="AP96" s="28">
        <f t="shared" si="49"/>
        <v>2246209.4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351719.96</v>
      </c>
      <c r="Q97" s="325"/>
      <c r="R97" s="324">
        <v>25277.91</v>
      </c>
      <c r="S97" s="29">
        <v>0</v>
      </c>
      <c r="T97" s="28">
        <f t="shared" si="47"/>
        <v>376997.87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351719.96</v>
      </c>
      <c r="AM97" s="837">
        <f t="shared" si="51"/>
        <v>0</v>
      </c>
      <c r="AN97" s="2135">
        <f t="shared" si="52"/>
        <v>25277.91</v>
      </c>
      <c r="AO97" s="29">
        <v>0</v>
      </c>
      <c r="AP97" s="28">
        <f t="shared" si="49"/>
        <v>376997.87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31828.57</v>
      </c>
      <c r="Q98" s="325"/>
      <c r="R98" s="324">
        <v>2827.02</v>
      </c>
      <c r="S98" s="29">
        <v>0</v>
      </c>
      <c r="T98" s="28">
        <f t="shared" si="47"/>
        <v>34655.589999999997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31828.57</v>
      </c>
      <c r="AM98" s="837">
        <f t="shared" si="51"/>
        <v>0</v>
      </c>
      <c r="AN98" s="2135">
        <f t="shared" si="52"/>
        <v>2827.02</v>
      </c>
      <c r="AO98" s="29">
        <v>0</v>
      </c>
      <c r="AP98" s="28">
        <f t="shared" si="49"/>
        <v>34655.589999999997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>
        <v>6315630.2400000002</v>
      </c>
      <c r="AE99" s="325"/>
      <c r="AF99" s="324">
        <v>542391.56999999995</v>
      </c>
      <c r="AG99" s="29">
        <v>0</v>
      </c>
      <c r="AH99" s="28">
        <f>+IF(ABS(+AC99+AE99)&lt;=ABS(AD99+AF99),-AC99+AD99-AE99+AF99,0)</f>
        <v>6858021.8100000005</v>
      </c>
      <c r="AI99" s="51"/>
      <c r="AJ99" s="1733">
        <f>+N99</f>
        <v>2417</v>
      </c>
      <c r="AK99" s="575">
        <v>0</v>
      </c>
      <c r="AL99" s="2135">
        <f t="shared" si="50"/>
        <v>6315630.2400000002</v>
      </c>
      <c r="AM99" s="837">
        <f t="shared" si="51"/>
        <v>0</v>
      </c>
      <c r="AN99" s="2135">
        <f t="shared" si="52"/>
        <v>542391.56999999995</v>
      </c>
      <c r="AO99" s="29">
        <v>0</v>
      </c>
      <c r="AP99" s="28">
        <f t="shared" si="49"/>
        <v>6858021.8100000005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584.48</v>
      </c>
      <c r="Q100" s="122"/>
      <c r="R100" s="121">
        <v>47.4</v>
      </c>
      <c r="S100" s="29">
        <v>0</v>
      </c>
      <c r="T100" s="28">
        <f t="shared" si="47"/>
        <v>631.88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584.48</v>
      </c>
      <c r="AM100" s="837">
        <f t="shared" si="51"/>
        <v>0</v>
      </c>
      <c r="AN100" s="2135">
        <f t="shared" si="52"/>
        <v>47.4</v>
      </c>
      <c r="AO100" s="29">
        <v>0</v>
      </c>
      <c r="AP100" s="28">
        <f t="shared" si="49"/>
        <v>631.88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59194.25</v>
      </c>
      <c r="Q101" s="126"/>
      <c r="R101" s="127">
        <v>5600.52</v>
      </c>
      <c r="S101" s="382">
        <v>0</v>
      </c>
      <c r="T101" s="57">
        <f t="shared" si="47"/>
        <v>64794.770000000004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59194.25</v>
      </c>
      <c r="AM101" s="837">
        <f t="shared" si="51"/>
        <v>0</v>
      </c>
      <c r="AN101" s="2135">
        <f t="shared" si="52"/>
        <v>5600.52</v>
      </c>
      <c r="AO101" s="29">
        <v>0</v>
      </c>
      <c r="AP101" s="28">
        <f t="shared" si="49"/>
        <v>64794.770000000004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346227.96</v>
      </c>
      <c r="P104" s="9">
        <v>0</v>
      </c>
      <c r="Q104" s="325">
        <v>114421.19</v>
      </c>
      <c r="R104" s="324">
        <v>125769.39</v>
      </c>
      <c r="S104" s="27">
        <f t="shared" si="54"/>
        <v>334879.76</v>
      </c>
      <c r="T104" s="30">
        <v>0</v>
      </c>
      <c r="U104" s="51"/>
      <c r="V104" s="541">
        <f>+'NF-KSF-TRIAL-BAL-2021'!O104+'RA-TRIAL-BAL-2021'!O104+'DES-TRIAL-BAL-2021'!O104+'DMP-TRIAL-BAL-2021'!O104</f>
        <v>126808.22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8585</v>
      </c>
      <c r="Y104" s="529">
        <f>+'NF-KSF-TRIAL-BAL-2021'!R104+'RA-TRIAL-BAL-2021'!R104+'DES-TRIAL-BAL-2021'!R104+'DMP-TRIAL-BAL-2021'!R104</f>
        <v>0</v>
      </c>
      <c r="Z104" s="528">
        <f>+'NF-KSF-TRIAL-BAL-2021'!S104+'RA-TRIAL-BAL-2021'!S104+'DES-TRIAL-BAL-2021'!S104+'DMP-TRIAL-BAL-2021'!S104</f>
        <v>135393.22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473036.18</v>
      </c>
      <c r="AL104" s="9">
        <v>0</v>
      </c>
      <c r="AM104" s="326">
        <f t="shared" si="57"/>
        <v>123006.19</v>
      </c>
      <c r="AN104" s="970">
        <f t="shared" si="57"/>
        <v>125769.39</v>
      </c>
      <c r="AO104" s="326">
        <f t="shared" si="58"/>
        <v>470272.98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>
        <v>1743.77</v>
      </c>
      <c r="R105" s="324">
        <v>1743.77</v>
      </c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1743.77</v>
      </c>
      <c r="AN105" s="970">
        <f t="shared" si="57"/>
        <v>1743.77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54675.5</v>
      </c>
      <c r="Q114" s="325">
        <v>597663.21</v>
      </c>
      <c r="R114" s="324">
        <v>546584.55000000005</v>
      </c>
      <c r="S114" s="330">
        <v>0</v>
      </c>
      <c r="T114" s="327">
        <f>+IF(ABS(+O114+Q114)&lt;=ABS(P114+R114),-O114+P114-Q114+R114,0)</f>
        <v>3596.8400000000838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4330426.8899999997</v>
      </c>
      <c r="X114" s="525">
        <f>+'NF-KSF-TRIAL-BAL-2021'!Q114+'RA-TRIAL-BAL-2021'!Q114+'DES-TRIAL-BAL-2021'!Q114+'DMP-TRIAL-BAL-2021'!Q114</f>
        <v>357261.29</v>
      </c>
      <c r="Y114" s="526">
        <f>+'NF-KSF-TRIAL-BAL-2021'!R114+'RA-TRIAL-BAL-2021'!R114+'DES-TRIAL-BAL-2021'!R114+'DMP-TRIAL-BAL-2021'!R114</f>
        <v>366117.49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4339283.09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4385102.3899999997</v>
      </c>
      <c r="AM114" s="326">
        <f t="shared" si="65"/>
        <v>954924.5</v>
      </c>
      <c r="AN114" s="970">
        <f t="shared" si="65"/>
        <v>912702.04</v>
      </c>
      <c r="AO114" s="330">
        <v>0</v>
      </c>
      <c r="AP114" s="28">
        <f>+T114+AA114+AH114</f>
        <v>4342879.93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31513.39</v>
      </c>
      <c r="P115" s="9">
        <v>0</v>
      </c>
      <c r="Q115" s="325">
        <v>363756.82</v>
      </c>
      <c r="R115" s="324">
        <v>359089.34</v>
      </c>
      <c r="S115" s="27">
        <f>+IF(ABS(+O115+Q115)&gt;=ABS(P115+R115),+O115-P115+Q115-R115,0)</f>
        <v>36180.869999999995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477044.81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477044.81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508558.2</v>
      </c>
      <c r="AL115" s="9">
        <v>0</v>
      </c>
      <c r="AM115" s="326">
        <f t="shared" si="65"/>
        <v>363756.82</v>
      </c>
      <c r="AN115" s="970">
        <f t="shared" si="65"/>
        <v>359089.34</v>
      </c>
      <c r="AO115" s="326">
        <f>+S115+Z115+AG115</f>
        <v>513225.68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510069.22</v>
      </c>
      <c r="P124" s="9">
        <v>0</v>
      </c>
      <c r="Q124" s="325">
        <v>189924.71</v>
      </c>
      <c r="R124" s="324">
        <v>219028.83</v>
      </c>
      <c r="S124" s="27">
        <f>+IF(ABS(+O124+Q124)&gt;=ABS(P124+R124),+O124-P124+Q124-R124,0)</f>
        <v>480965.1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510069.22</v>
      </c>
      <c r="AL124" s="9">
        <v>0</v>
      </c>
      <c r="AM124" s="326">
        <f t="shared" si="65"/>
        <v>189924.71</v>
      </c>
      <c r="AN124" s="970">
        <f t="shared" si="65"/>
        <v>219028.83</v>
      </c>
      <c r="AO124" s="326">
        <f>+S124+Z124+AG124</f>
        <v>480965.1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102552.01</v>
      </c>
      <c r="Q128" s="325">
        <v>2243033.02</v>
      </c>
      <c r="R128" s="324">
        <v>2162829.5299999998</v>
      </c>
      <c r="S128" s="29">
        <v>0</v>
      </c>
      <c r="T128" s="28">
        <f>+IF(ABS(+O128+Q128)&lt;=ABS(P128+R128),-O128+P128-Q128+R128,0)</f>
        <v>22348.519999999553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48299.79</v>
      </c>
      <c r="X128" s="528">
        <f>+'NF-KSF-TRIAL-BAL-2021'!Q128+'RA-TRIAL-BAL-2021'!Q128+'DES-TRIAL-BAL-2021'!Q128+'DMP-TRIAL-BAL-2021'!Q128</f>
        <v>215144.88</v>
      </c>
      <c r="Y128" s="529">
        <f>+'NF-KSF-TRIAL-BAL-2021'!R128+'RA-TRIAL-BAL-2021'!R128+'DES-TRIAL-BAL-2021'!R128+'DMP-TRIAL-BAL-2021'!R128</f>
        <v>179989.44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13144.350000000006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150851.79999999999</v>
      </c>
      <c r="AM128" s="326">
        <f t="shared" si="65"/>
        <v>2458177.9</v>
      </c>
      <c r="AN128" s="970">
        <f t="shared" si="65"/>
        <v>2342818.9700000002</v>
      </c>
      <c r="AO128" s="29">
        <v>0</v>
      </c>
      <c r="AP128" s="28">
        <f>+T128+AA128+AH128</f>
        <v>35492.869999999559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30</v>
      </c>
      <c r="P129" s="9">
        <v>0</v>
      </c>
      <c r="Q129" s="325">
        <v>63900</v>
      </c>
      <c r="R129" s="324">
        <v>42830</v>
      </c>
      <c r="S129" s="27">
        <f>+IF(ABS(+O129+Q129)&gt;=ABS(P129+R129),+O129-P129+Q129-R129,0)</f>
        <v>21100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30</v>
      </c>
      <c r="AL129" s="9">
        <v>0</v>
      </c>
      <c r="AM129" s="326">
        <f t="shared" si="65"/>
        <v>63900</v>
      </c>
      <c r="AN129" s="970">
        <f t="shared" si="65"/>
        <v>42830</v>
      </c>
      <c r="AO129" s="326">
        <f>+S129+Z129+AG129</f>
        <v>21100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262761.02</v>
      </c>
      <c r="Q132" s="325">
        <v>262752.02</v>
      </c>
      <c r="R132" s="324"/>
      <c r="S132" s="29">
        <v>0</v>
      </c>
      <c r="T132" s="28">
        <f>+IF(ABS(+O132+Q132)&lt;=ABS(P132+R132),-O132+P132-Q132+R132,0)</f>
        <v>9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262761.02</v>
      </c>
      <c r="AM132" s="326">
        <f t="shared" si="65"/>
        <v>262752.02</v>
      </c>
      <c r="AN132" s="970">
        <f t="shared" si="65"/>
        <v>0</v>
      </c>
      <c r="AO132" s="29">
        <v>0</v>
      </c>
      <c r="AP132" s="28">
        <f>+T132+AA132+AH132</f>
        <v>9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>
        <v>480</v>
      </c>
      <c r="R133" s="324">
        <v>480</v>
      </c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480</v>
      </c>
      <c r="AN133" s="970">
        <f t="shared" si="65"/>
        <v>480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2021</v>
      </c>
      <c r="P137" s="9">
        <v>0</v>
      </c>
      <c r="Q137" s="325"/>
      <c r="R137" s="324"/>
      <c r="S137" s="27">
        <f>+IF(ABS(+O137+Q137)&gt;=ABS(P137+R137),+O137-P137+Q137-R137,0)</f>
        <v>2021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2021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2021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>
        <v>8496.5</v>
      </c>
      <c r="R142" s="324">
        <v>8496.5</v>
      </c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8496.5</v>
      </c>
      <c r="AN142" s="970">
        <f t="shared" si="65"/>
        <v>8496.5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>
        <v>116190</v>
      </c>
      <c r="R146" s="324">
        <v>116190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8000</v>
      </c>
      <c r="Y146" s="529">
        <f>+'NF-KSF-TRIAL-BAL-2021'!R146+'RA-TRIAL-BAL-2021'!R146+'DES-TRIAL-BAL-2021'!R146+'DMP-TRIAL-BAL-2021'!R146</f>
        <v>8000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124190</v>
      </c>
      <c r="AN146" s="970">
        <f t="shared" si="65"/>
        <v>124190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2089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10405.040000000001</v>
      </c>
      <c r="Q180" s="325">
        <v>110069.86</v>
      </c>
      <c r="R180" s="324">
        <v>101990.04</v>
      </c>
      <c r="S180" s="583">
        <f>+IF(ABS(+O180+Q180)&gt;=ABS(P180+R180),+O180-P180+Q180-R180,0)</f>
        <v>0</v>
      </c>
      <c r="T180" s="580">
        <f>+IF(ABS(+O180+Q180)&lt;=ABS(P180+R180),-O180+P180-Q180+R180,0)</f>
        <v>2325.2199999999866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3278.31</v>
      </c>
      <c r="X180" s="587">
        <f>+'NF-KSF-TRIAL-BAL-2021'!Q180+'RA-TRIAL-BAL-2021'!Q180+'DES-TRIAL-BAL-2021'!Q180+'DMP-TRIAL-BAL-2021'!Q180</f>
        <v>7069.75</v>
      </c>
      <c r="Y180" s="586">
        <f>+'NF-KSF-TRIAL-BAL-2021'!R180+'RA-TRIAL-BAL-2021'!R180+'DES-TRIAL-BAL-2021'!R180+'DMP-TRIAL-BAL-2021'!R180</f>
        <v>5356.4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1564.9599999999996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13683.35</v>
      </c>
      <c r="AM180" s="326">
        <f t="shared" si="99"/>
        <v>117139.61</v>
      </c>
      <c r="AN180" s="970">
        <f t="shared" si="99"/>
        <v>107346.44</v>
      </c>
      <c r="AO180" s="326">
        <f t="shared" si="98"/>
        <v>0</v>
      </c>
      <c r="AP180" s="28">
        <f t="shared" si="92"/>
        <v>3890.1799999999862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2656.15</v>
      </c>
      <c r="Q181" s="325">
        <v>9214.27</v>
      </c>
      <c r="R181" s="324">
        <v>9828.85</v>
      </c>
      <c r="S181" s="27">
        <f>+IF(ABS(+O181+Q181)&gt;=ABS(P181+R181),+O181-P181+Q181-R181,0)</f>
        <v>0</v>
      </c>
      <c r="T181" s="28">
        <f t="shared" si="93"/>
        <v>3270.7299999999996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2656.15</v>
      </c>
      <c r="AM181" s="326">
        <f t="shared" ref="AM181:AN186" si="100">+ROUND(+Q181+X181+AE181,2)</f>
        <v>9214.27</v>
      </c>
      <c r="AN181" s="970">
        <f t="shared" si="100"/>
        <v>9828.85</v>
      </c>
      <c r="AO181" s="326">
        <f t="shared" si="98"/>
        <v>0</v>
      </c>
      <c r="AP181" s="28">
        <f t="shared" si="92"/>
        <v>3270.7299999999996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156.13999999999999</v>
      </c>
      <c r="Q182" s="325">
        <v>202.08</v>
      </c>
      <c r="R182" s="324">
        <v>21007.72</v>
      </c>
      <c r="S182" s="27">
        <f>+IF(ABS(+O182+Q182)&gt;=ABS(P182+R182),+O182-P182+Q182-R182,0)</f>
        <v>0</v>
      </c>
      <c r="T182" s="28">
        <f t="shared" si="93"/>
        <v>20961.780000000002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156.13999999999999</v>
      </c>
      <c r="AM182" s="326">
        <f t="shared" si="100"/>
        <v>202.08</v>
      </c>
      <c r="AN182" s="970">
        <f t="shared" si="100"/>
        <v>21007.72</v>
      </c>
      <c r="AO182" s="326">
        <f t="shared" si="98"/>
        <v>0</v>
      </c>
      <c r="AP182" s="28">
        <f t="shared" si="92"/>
        <v>20961.780000000002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>
        <v>9622.35</v>
      </c>
      <c r="R184" s="324">
        <v>9622.35</v>
      </c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9622.35</v>
      </c>
      <c r="AN184" s="970">
        <f t="shared" si="100"/>
        <v>9622.35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1073833.4300000002</v>
      </c>
      <c r="X186" s="587">
        <f>+'NF-KSF-TRIAL-BAL-2021'!Q186+'RA-TRIAL-BAL-2021'!Q186+'DES-TRIAL-BAL-2021'!Q186+'DMP-TRIAL-BAL-2021'!Q186</f>
        <v>77509.19</v>
      </c>
      <c r="Y186" s="586">
        <f>+'NF-KSF-TRIAL-BAL-2021'!R186+'RA-TRIAL-BAL-2021'!R186+'DES-TRIAL-BAL-2021'!R186+'DMP-TRIAL-BAL-2021'!R186</f>
        <v>108303.03999999999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1104627.28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1073833.43</v>
      </c>
      <c r="AM186" s="326">
        <f t="shared" si="100"/>
        <v>77509.19</v>
      </c>
      <c r="AN186" s="970">
        <f t="shared" si="100"/>
        <v>108303.03999999999</v>
      </c>
      <c r="AO186" s="29">
        <v>0</v>
      </c>
      <c r="AP186" s="28">
        <f>+T186+AA186+AH186</f>
        <v>1104627.28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/>
      <c r="R187" s="324"/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28727.03</v>
      </c>
      <c r="Q191" s="325">
        <v>301000.61</v>
      </c>
      <c r="R191" s="324">
        <v>279038.67</v>
      </c>
      <c r="S191" s="27">
        <f>+IF(ABS(+O191+Q191)&gt;=ABS(P191+R191),+O191-P191+Q191-R191,0)</f>
        <v>0</v>
      </c>
      <c r="T191" s="28">
        <f t="shared" si="93"/>
        <v>6765.0900000000256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12344.68</v>
      </c>
      <c r="X191" s="528">
        <f>+'NF-KSF-TRIAL-BAL-2021'!Q191+'RA-TRIAL-BAL-2021'!Q191+'DES-TRIAL-BAL-2021'!Q191+'DMP-TRIAL-BAL-2021'!Q191</f>
        <v>30510.41</v>
      </c>
      <c r="Y191" s="529">
        <f>+'NF-KSF-TRIAL-BAL-2021'!R191+'RA-TRIAL-BAL-2021'!R191+'DES-TRIAL-BAL-2021'!R191+'DMP-TRIAL-BAL-2021'!R191</f>
        <v>21834.41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3668.6800000000003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41071.71</v>
      </c>
      <c r="AM191" s="326">
        <f t="shared" ref="AM191:AN194" si="104">+ROUND(+Q191+X191+AE191,2)</f>
        <v>331511.02</v>
      </c>
      <c r="AN191" s="970">
        <f t="shared" si="104"/>
        <v>300873.08</v>
      </c>
      <c r="AO191" s="326">
        <f>+S191+Z191+AG191</f>
        <v>0</v>
      </c>
      <c r="AP191" s="28">
        <f t="shared" si="103"/>
        <v>10433.770000000026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10316.57</v>
      </c>
      <c r="Q192" s="325">
        <v>108298.3</v>
      </c>
      <c r="R192" s="324">
        <v>100124.96</v>
      </c>
      <c r="S192" s="583">
        <f>+IF(ABS(+O192+Q192)&gt;=ABS(P192+R192),+O192-P192+Q192-R192,0)</f>
        <v>0</v>
      </c>
      <c r="T192" s="580">
        <f t="shared" si="93"/>
        <v>2143.2299999999959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4746.79</v>
      </c>
      <c r="X192" s="587">
        <f>+'NF-KSF-TRIAL-BAL-2021'!Q192+'RA-TRIAL-BAL-2021'!Q192+'DES-TRIAL-BAL-2021'!Q192+'DMP-TRIAL-BAL-2021'!Q192</f>
        <v>11255.35</v>
      </c>
      <c r="Y192" s="586">
        <f>+'NF-KSF-TRIAL-BAL-2021'!R192+'RA-TRIAL-BAL-2021'!R192+'DES-TRIAL-BAL-2021'!R192+'DMP-TRIAL-BAL-2021'!R192</f>
        <v>7960.47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1451.9099999999999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15063.36</v>
      </c>
      <c r="AM192" s="326">
        <f t="shared" si="104"/>
        <v>119553.65</v>
      </c>
      <c r="AN192" s="970">
        <f t="shared" si="104"/>
        <v>108085.43</v>
      </c>
      <c r="AO192" s="326">
        <f>+S192+Z192+AG192</f>
        <v>0</v>
      </c>
      <c r="AP192" s="28">
        <f t="shared" si="103"/>
        <v>3595.1399999999958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3721.98</v>
      </c>
      <c r="Q193" s="325">
        <v>50703.4</v>
      </c>
      <c r="R193" s="324">
        <v>48082.63</v>
      </c>
      <c r="S193" s="27">
        <f>+IF(ABS(+O193+Q193)&gt;=ABS(P193+R193),+O193-P193+Q193-R193,0)</f>
        <v>0</v>
      </c>
      <c r="T193" s="28">
        <f t="shared" si="93"/>
        <v>1101.2099999999991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2307.84</v>
      </c>
      <c r="X193" s="528">
        <f>+'NF-KSF-TRIAL-BAL-2021'!Q193+'RA-TRIAL-BAL-2021'!Q193+'DES-TRIAL-BAL-2021'!Q193+'DMP-TRIAL-BAL-2021'!Q193</f>
        <v>5180.2299999999996</v>
      </c>
      <c r="Y193" s="529">
        <f>+'NF-KSF-TRIAL-BAL-2021'!R193+'RA-TRIAL-BAL-2021'!R193+'DES-TRIAL-BAL-2021'!R193+'DMP-TRIAL-BAL-2021'!R193</f>
        <v>3741.11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868.72000000000071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6029.82</v>
      </c>
      <c r="AM193" s="326">
        <f t="shared" si="104"/>
        <v>55883.63</v>
      </c>
      <c r="AN193" s="970">
        <f t="shared" si="104"/>
        <v>51823.74</v>
      </c>
      <c r="AO193" s="326">
        <f>+S193+Z193+AG193</f>
        <v>0</v>
      </c>
      <c r="AP193" s="28">
        <f t="shared" si="103"/>
        <v>1969.9299999999998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76497.42</v>
      </c>
      <c r="X202" s="528">
        <f>+'NF-KSF-TRIAL-BAL-2021'!Q202+'RA-TRIAL-BAL-2021'!Q202+'DES-TRIAL-BAL-2021'!Q202+'DMP-TRIAL-BAL-2021'!Q202</f>
        <v>19377.93</v>
      </c>
      <c r="Y202" s="529">
        <f>+'NF-KSF-TRIAL-BAL-2021'!R202+'RA-TRIAL-BAL-2021'!R202+'DES-TRIAL-BAL-2021'!R202+'DMP-TRIAL-BAL-2021'!R202</f>
        <v>337896.29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395015.78</v>
      </c>
      <c r="AB202" s="51"/>
      <c r="AC202" s="120">
        <v>20000</v>
      </c>
      <c r="AD202" s="121"/>
      <c r="AE202" s="325">
        <v>230000</v>
      </c>
      <c r="AF202" s="324">
        <v>20000</v>
      </c>
      <c r="AG202" s="27">
        <f t="shared" si="94"/>
        <v>230000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20000</v>
      </c>
      <c r="AL202" s="970">
        <f t="shared" si="107"/>
        <v>76497.42</v>
      </c>
      <c r="AM202" s="326">
        <f t="shared" si="115"/>
        <v>249377.93</v>
      </c>
      <c r="AN202" s="970">
        <f t="shared" si="115"/>
        <v>357896.29</v>
      </c>
      <c r="AO202" s="326">
        <f t="shared" si="114"/>
        <v>230000</v>
      </c>
      <c r="AP202" s="28">
        <f t="shared" si="108"/>
        <v>395015.78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76497.42</v>
      </c>
      <c r="P205" s="121">
        <v>0</v>
      </c>
      <c r="Q205" s="325">
        <v>326047.5</v>
      </c>
      <c r="R205" s="324">
        <v>7529.14</v>
      </c>
      <c r="S205" s="27">
        <f t="shared" si="112"/>
        <v>395015.77999999997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76497.42</v>
      </c>
      <c r="AL205" s="970">
        <f t="shared" si="107"/>
        <v>0</v>
      </c>
      <c r="AM205" s="326">
        <f t="shared" si="115"/>
        <v>326047.5</v>
      </c>
      <c r="AN205" s="970">
        <f t="shared" si="115"/>
        <v>7529.14</v>
      </c>
      <c r="AO205" s="326">
        <f t="shared" si="114"/>
        <v>395015.77999999997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20000</v>
      </c>
      <c r="Q207" s="325">
        <v>20000</v>
      </c>
      <c r="R207" s="324">
        <v>230000</v>
      </c>
      <c r="S207" s="583">
        <f t="shared" si="112"/>
        <v>0</v>
      </c>
      <c r="T207" s="580">
        <f t="shared" si="93"/>
        <v>230000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20000</v>
      </c>
      <c r="AM207" s="326">
        <f t="shared" si="115"/>
        <v>20000</v>
      </c>
      <c r="AN207" s="970">
        <f t="shared" si="115"/>
        <v>230000</v>
      </c>
      <c r="AO207" s="326">
        <f t="shared" si="114"/>
        <v>0</v>
      </c>
      <c r="AP207" s="28">
        <f t="shared" si="108"/>
        <v>230000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9774.81</v>
      </c>
      <c r="Q216" s="325">
        <v>8617.5499999999993</v>
      </c>
      <c r="R216" s="324">
        <v>447.6</v>
      </c>
      <c r="S216" s="583">
        <f t="shared" si="112"/>
        <v>0</v>
      </c>
      <c r="T216" s="580">
        <f t="shared" si="93"/>
        <v>1604.8600000000001</v>
      </c>
      <c r="U216" s="51"/>
      <c r="V216" s="541">
        <f>+'NF-KSF-TRIAL-BAL-2021'!O216+'RA-TRIAL-BAL-2021'!O216+'DES-TRIAL-BAL-2021'!O216+'DMP-TRIAL-BAL-2021'!O216</f>
        <v>9774.81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8169.95</v>
      </c>
      <c r="Z216" s="587">
        <f>+'NF-KSF-TRIAL-BAL-2021'!S216+'RA-TRIAL-BAL-2021'!S216+'DES-TRIAL-BAL-2021'!S216+'DMP-TRIAL-BAL-2021'!S216</f>
        <v>1604.8599999999997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9774.81</v>
      </c>
      <c r="AL216" s="970">
        <f t="shared" si="117"/>
        <v>9774.81</v>
      </c>
      <c r="AM216" s="326">
        <f t="shared" si="118"/>
        <v>8617.5499999999993</v>
      </c>
      <c r="AN216" s="970">
        <f t="shared" si="118"/>
        <v>8617.5499999999993</v>
      </c>
      <c r="AO216" s="326">
        <f t="shared" si="114"/>
        <v>1604.8599999999997</v>
      </c>
      <c r="AP216" s="28">
        <f t="shared" si="108"/>
        <v>1604.8600000000001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146049.57</v>
      </c>
      <c r="Q217" s="325">
        <v>51492.52</v>
      </c>
      <c r="R217" s="324">
        <v>13307.95</v>
      </c>
      <c r="S217" s="583">
        <f t="shared" si="112"/>
        <v>0</v>
      </c>
      <c r="T217" s="580">
        <f t="shared" si="93"/>
        <v>107865.00000000001</v>
      </c>
      <c r="U217" s="51"/>
      <c r="V217" s="541">
        <f>+'NF-KSF-TRIAL-BAL-2021'!O217+'RA-TRIAL-BAL-2021'!O217+'DES-TRIAL-BAL-2021'!O217+'DMP-TRIAL-BAL-2021'!O217</f>
        <v>146049.32999999999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17595.75</v>
      </c>
      <c r="Y217" s="586">
        <f>+'NF-KSF-TRIAL-BAL-2021'!R217+'RA-TRIAL-BAL-2021'!R217+'DES-TRIAL-BAL-2021'!R217+'DMP-TRIAL-BAL-2021'!R217</f>
        <v>55780.32</v>
      </c>
      <c r="Z217" s="587">
        <f>+'NF-KSF-TRIAL-BAL-2021'!S217+'RA-TRIAL-BAL-2021'!S217+'DES-TRIAL-BAL-2021'!S217+'DMP-TRIAL-BAL-2021'!S217</f>
        <v>107864.75999999998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146049.32999999999</v>
      </c>
      <c r="AL217" s="970">
        <f t="shared" si="117"/>
        <v>146049.57</v>
      </c>
      <c r="AM217" s="326">
        <f t="shared" si="118"/>
        <v>69088.27</v>
      </c>
      <c r="AN217" s="970">
        <f t="shared" si="118"/>
        <v>69088.27</v>
      </c>
      <c r="AO217" s="326">
        <f t="shared" si="114"/>
        <v>107864.75999999998</v>
      </c>
      <c r="AP217" s="28">
        <f t="shared" si="108"/>
        <v>107865.00000000001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>
        <v>131951.16</v>
      </c>
      <c r="P219" s="582">
        <v>0</v>
      </c>
      <c r="Q219" s="325"/>
      <c r="R219" s="324">
        <v>17249.900000000001</v>
      </c>
      <c r="S219" s="583">
        <f t="shared" si="112"/>
        <v>114701.26000000001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131951.16</v>
      </c>
      <c r="AL219" s="9">
        <v>0</v>
      </c>
      <c r="AM219" s="326">
        <f t="shared" ref="AM219:AN224" si="120">+ROUND(+Q219+X219+AE219,2)</f>
        <v>0</v>
      </c>
      <c r="AN219" s="970">
        <f t="shared" si="120"/>
        <v>17249.900000000001</v>
      </c>
      <c r="AO219" s="326">
        <f t="shared" si="114"/>
        <v>114701.26000000001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>
        <v>613067.97</v>
      </c>
      <c r="AE226" s="122">
        <v>2574.9499999999998</v>
      </c>
      <c r="AF226" s="324">
        <v>9279.02</v>
      </c>
      <c r="AG226" s="579">
        <v>0</v>
      </c>
      <c r="AH226" s="580">
        <f>+IF(ABS(+AC226+AE226)&lt;=ABS(AD226+AF226),-AC226+AD226-AE226+AF226,0)</f>
        <v>619772.04</v>
      </c>
      <c r="AI226" s="51"/>
      <c r="AJ226" s="1497">
        <f t="shared" si="124"/>
        <v>4831</v>
      </c>
      <c r="AK226" s="8">
        <v>0</v>
      </c>
      <c r="AL226" s="970">
        <f>+ROUND(+P226+W226+AD226,2)</f>
        <v>613067.97</v>
      </c>
      <c r="AM226" s="326">
        <f t="shared" si="125"/>
        <v>2574.9499999999998</v>
      </c>
      <c r="AN226" s="970">
        <f t="shared" si="125"/>
        <v>9279.02</v>
      </c>
      <c r="AO226" s="29">
        <v>0</v>
      </c>
      <c r="AP226" s="28">
        <f>+T226+AA226+AH226</f>
        <v>619772.04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/>
      <c r="R255" s="324"/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150.19999999999999</v>
      </c>
      <c r="Q259" s="325">
        <v>10285.08</v>
      </c>
      <c r="R259" s="324">
        <v>10270.120000000001</v>
      </c>
      <c r="S259" s="579">
        <v>0</v>
      </c>
      <c r="T259" s="580">
        <f t="shared" ref="T259:T274" si="149">+IF(ABS(+O259+Q259)&lt;=ABS(P259+R259),-O259+P259-Q259+R259,0)</f>
        <v>135.2400000000016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150.19999999999999</v>
      </c>
      <c r="AM259" s="326">
        <f>+ROUND(+Q259+X259+AE259,2)</f>
        <v>10285.08</v>
      </c>
      <c r="AN259" s="970">
        <f>+ROUND(+R259+Y259+AF259,2)</f>
        <v>10270.120000000001</v>
      </c>
      <c r="AO259" s="8">
        <v>0</v>
      </c>
      <c r="AP259" s="28">
        <f t="shared" si="146"/>
        <v>135.2400000000016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64375.35</v>
      </c>
      <c r="Q264" s="325"/>
      <c r="R264" s="324"/>
      <c r="S264" s="579">
        <v>0</v>
      </c>
      <c r="T264" s="580">
        <f t="shared" si="149"/>
        <v>64375.35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64375.35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64375.35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23243.47</v>
      </c>
      <c r="P272" s="576">
        <v>0</v>
      </c>
      <c r="Q272" s="325">
        <v>1185.3499999999999</v>
      </c>
      <c r="R272" s="324">
        <v>24428.82</v>
      </c>
      <c r="S272" s="583">
        <f t="shared" si="156"/>
        <v>0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23243.47</v>
      </c>
      <c r="AL272" s="970">
        <f t="shared" ref="AL272:AL282" si="159">+ROUND(+P272+W272+AD272,2)</f>
        <v>0</v>
      </c>
      <c r="AM272" s="326">
        <f t="shared" ref="AM272:AM282" si="160">+ROUND(+Q272+X272+AE272,2)</f>
        <v>1185.3499999999999</v>
      </c>
      <c r="AN272" s="970">
        <f t="shared" ref="AN272:AN282" si="161">+ROUND(+R272+Y272+AF272,2)</f>
        <v>24428.82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1073833.4300000002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108303.03999999999</v>
      </c>
      <c r="Y274" s="586">
        <f>+'NF-KSF-TRIAL-BAL-2021'!R274+'RA-TRIAL-BAL-2021'!R274+'DES-TRIAL-BAL-2021'!R274+'DMP-TRIAL-BAL-2021'!R274</f>
        <v>77509.19</v>
      </c>
      <c r="Z274" s="587">
        <f>+'NF-KSF-TRIAL-BAL-2021'!S274+'RA-TRIAL-BAL-2021'!S274+'DES-TRIAL-BAL-2021'!S274+'DMP-TRIAL-BAL-2021'!S274</f>
        <v>1104627.28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1073833.43</v>
      </c>
      <c r="AL274" s="970">
        <f t="shared" si="159"/>
        <v>0</v>
      </c>
      <c r="AM274" s="326">
        <f t="shared" si="160"/>
        <v>108303.03999999999</v>
      </c>
      <c r="AN274" s="970">
        <f t="shared" si="161"/>
        <v>77509.19</v>
      </c>
      <c r="AO274" s="326">
        <f t="shared" si="154"/>
        <v>1104627.28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8046.26</v>
      </c>
      <c r="Q275" s="325"/>
      <c r="R275" s="324">
        <v>-8046.26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8046.26</v>
      </c>
      <c r="AM275" s="326">
        <f t="shared" si="160"/>
        <v>0</v>
      </c>
      <c r="AN275" s="970">
        <f t="shared" si="161"/>
        <v>-8046.26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1185.3499999999999</v>
      </c>
      <c r="Y279" s="586">
        <f>+'NF-KSF-TRIAL-BAL-2021'!R279+'RA-TRIAL-BAL-2021'!R279+'DES-TRIAL-BAL-2021'!R279+'DMP-TRIAL-BAL-2021'!R279</f>
        <v>1185.3499999999999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1185.3499999999999</v>
      </c>
      <c r="AN279" s="970">
        <f t="shared" si="161"/>
        <v>1185.3499999999999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>
        <v>8485</v>
      </c>
      <c r="Q284" s="325"/>
      <c r="R284" s="324">
        <v>-8485</v>
      </c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8485</v>
      </c>
      <c r="AM284" s="326">
        <f>+ROUND(+Q284+X284+AE284,2)</f>
        <v>0</v>
      </c>
      <c r="AN284" s="970">
        <f>+ROUND(+R284+Y284+AF284,2)</f>
        <v>-8485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8">
        <v>5000</v>
      </c>
      <c r="B286" s="2289" t="s">
        <v>799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265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91">
        <v>5005</v>
      </c>
      <c r="B289" s="2292" t="s">
        <v>802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265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91">
        <v>5006</v>
      </c>
      <c r="B290" s="2292" t="s">
        <v>803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265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91">
        <v>5009</v>
      </c>
      <c r="B293" s="2292" t="s">
        <v>806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265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29716.99</v>
      </c>
      <c r="R294" s="324">
        <v>23242.73</v>
      </c>
      <c r="S294" s="27">
        <f t="shared" si="176"/>
        <v>6474.260000000002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29716.99</v>
      </c>
      <c r="AN294" s="970">
        <f t="shared" si="178"/>
        <v>23242.73</v>
      </c>
      <c r="AO294" s="326">
        <f t="shared" si="172"/>
        <v>6474.260000000002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2699459.54</v>
      </c>
      <c r="P296" s="9">
        <v>0</v>
      </c>
      <c r="Q296" s="325">
        <v>5677828.1200000001</v>
      </c>
      <c r="R296" s="324">
        <v>5185346.97</v>
      </c>
      <c r="S296" s="27">
        <f t="shared" si="176"/>
        <v>3191940.6900000004</v>
      </c>
      <c r="T296" s="30">
        <v>0</v>
      </c>
      <c r="U296" s="51"/>
      <c r="V296" s="541">
        <f>+'NF-KSF-TRIAL-BAL-2021'!O296+'RA-TRIAL-BAL-2021'!O296+'DES-TRIAL-BAL-2021'!O296+'DMP-TRIAL-BAL-2021'!O296</f>
        <v>92989.67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438760.32</v>
      </c>
      <c r="Y296" s="529">
        <f>+'NF-KSF-TRIAL-BAL-2021'!R296+'RA-TRIAL-BAL-2021'!R296+'DES-TRIAL-BAL-2021'!R296+'DMP-TRIAL-BAL-2021'!R296</f>
        <v>495758.14</v>
      </c>
      <c r="Z296" s="528">
        <f>+'NF-KSF-TRIAL-BAL-2021'!S296+'RA-TRIAL-BAL-2021'!S296+'DES-TRIAL-BAL-2021'!S296+'DMP-TRIAL-BAL-2021'!S296</f>
        <v>35991.850000000042</v>
      </c>
      <c r="AA296" s="347">
        <f>+'NF-KSF-TRIAL-BAL-2021'!T296+'RA-TRIAL-BAL-2021'!T296+'DES-TRIAL-BAL-2021'!T296+'DMP-TRIAL-BAL-2021'!T296</f>
        <v>0</v>
      </c>
      <c r="AB296" s="51"/>
      <c r="AC296" s="120">
        <v>593067.97</v>
      </c>
      <c r="AD296" s="9">
        <v>0</v>
      </c>
      <c r="AE296" s="122">
        <v>29279.02</v>
      </c>
      <c r="AF296" s="324">
        <v>232574.95</v>
      </c>
      <c r="AG296" s="27">
        <f t="shared" si="169"/>
        <v>389772.04</v>
      </c>
      <c r="AH296" s="30">
        <v>0</v>
      </c>
      <c r="AI296" s="51"/>
      <c r="AJ296" s="1497">
        <f t="shared" si="124"/>
        <v>5013</v>
      </c>
      <c r="AK296" s="951">
        <f t="shared" si="177"/>
        <v>3385517.18</v>
      </c>
      <c r="AL296" s="9">
        <v>0</v>
      </c>
      <c r="AM296" s="326">
        <f t="shared" si="178"/>
        <v>6145867.46</v>
      </c>
      <c r="AN296" s="970">
        <f t="shared" si="178"/>
        <v>5913680.0599999996</v>
      </c>
      <c r="AO296" s="326">
        <f t="shared" si="172"/>
        <v>3617704.5800000005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>
        <v>964917.04</v>
      </c>
      <c r="P313" s="582">
        <v>0</v>
      </c>
      <c r="Q313" s="325"/>
      <c r="R313" s="324">
        <v>1139.17</v>
      </c>
      <c r="S313" s="583">
        <f t="shared" si="176"/>
        <v>963777.87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964917.04</v>
      </c>
      <c r="AL313" s="9">
        <v>0</v>
      </c>
      <c r="AM313" s="326">
        <f t="shared" si="178"/>
        <v>0</v>
      </c>
      <c r="AN313" s="970">
        <f t="shared" si="178"/>
        <v>1139.17</v>
      </c>
      <c r="AO313" s="326">
        <f t="shared" si="181"/>
        <v>963777.87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>
        <v>20000</v>
      </c>
      <c r="P348" s="582">
        <v>0</v>
      </c>
      <c r="Q348" s="325"/>
      <c r="R348" s="324">
        <v>20000</v>
      </c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20000</v>
      </c>
      <c r="AL348" s="9">
        <v>0</v>
      </c>
      <c r="AM348" s="326">
        <f t="shared" si="178"/>
        <v>0</v>
      </c>
      <c r="AN348" s="970">
        <f t="shared" si="178"/>
        <v>20000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150754.99</v>
      </c>
      <c r="R384" s="324">
        <v>13589.79</v>
      </c>
      <c r="S384" s="326">
        <f t="shared" ref="S384:S401" si="213">+IF(ABS(+O384+Q384)&gt;=ABS(P384+R384),+O384-P384+Q384-R384,0)</f>
        <v>137165.19999999998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1817.29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1817.29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152572.28</v>
      </c>
      <c r="AN384" s="970">
        <f t="shared" si="217"/>
        <v>13589.79</v>
      </c>
      <c r="AO384" s="326">
        <f t="shared" ref="AO384:AO415" si="218">+S384+Z384+AG384</f>
        <v>138982.49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7506.15</v>
      </c>
      <c r="R385" s="324">
        <v>74.81</v>
      </c>
      <c r="S385" s="27">
        <f t="shared" si="213"/>
        <v>7431.3399999999992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8158.12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8158.12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15664.27</v>
      </c>
      <c r="AN385" s="970">
        <f t="shared" si="217"/>
        <v>74.81</v>
      </c>
      <c r="AO385" s="326">
        <f t="shared" si="218"/>
        <v>15589.46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53656.800000000003</v>
      </c>
      <c r="R386" s="324">
        <v>22</v>
      </c>
      <c r="S386" s="27">
        <f t="shared" si="213"/>
        <v>53634.8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33480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33480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87136.8</v>
      </c>
      <c r="AN386" s="970">
        <f t="shared" si="217"/>
        <v>22</v>
      </c>
      <c r="AO386" s="326">
        <f t="shared" si="218"/>
        <v>87114.8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93.3</v>
      </c>
      <c r="R387" s="324"/>
      <c r="S387" s="27">
        <f t="shared" si="213"/>
        <v>93.3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93.3</v>
      </c>
      <c r="AN387" s="970">
        <f t="shared" si="217"/>
        <v>0</v>
      </c>
      <c r="AO387" s="326">
        <f t="shared" si="218"/>
        <v>93.3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6248.22</v>
      </c>
      <c r="R388" s="324"/>
      <c r="S388" s="27">
        <f t="shared" si="213"/>
        <v>6248.22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6248.22</v>
      </c>
      <c r="AN388" s="970">
        <f t="shared" si="217"/>
        <v>0</v>
      </c>
      <c r="AO388" s="326">
        <f t="shared" si="218"/>
        <v>6248.22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571.14</v>
      </c>
      <c r="R389" s="324"/>
      <c r="S389" s="27">
        <f t="shared" si="213"/>
        <v>571.14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571.14</v>
      </c>
      <c r="AN389" s="970">
        <f t="shared" si="217"/>
        <v>0</v>
      </c>
      <c r="AO389" s="326">
        <f t="shared" si="218"/>
        <v>571.14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25.15</v>
      </c>
      <c r="R390" s="324"/>
      <c r="S390" s="27">
        <f t="shared" si="213"/>
        <v>25.15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25.15</v>
      </c>
      <c r="AN390" s="970">
        <f t="shared" si="217"/>
        <v>0</v>
      </c>
      <c r="AO390" s="326">
        <f t="shared" si="218"/>
        <v>25.15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2714.71</v>
      </c>
      <c r="R391" s="324"/>
      <c r="S391" s="27">
        <f t="shared" si="213"/>
        <v>2714.71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241.12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241.12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2955.83</v>
      </c>
      <c r="AN391" s="970">
        <f t="shared" si="217"/>
        <v>0</v>
      </c>
      <c r="AO391" s="326">
        <f t="shared" si="218"/>
        <v>2955.83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5320.92</v>
      </c>
      <c r="R392" s="324"/>
      <c r="S392" s="27">
        <f t="shared" si="213"/>
        <v>5320.92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5320.92</v>
      </c>
      <c r="AN392" s="970">
        <f t="shared" si="217"/>
        <v>0</v>
      </c>
      <c r="AO392" s="326">
        <f t="shared" si="218"/>
        <v>5320.92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65866.710000000006</v>
      </c>
      <c r="R393" s="324"/>
      <c r="S393" s="27">
        <f t="shared" si="213"/>
        <v>65866.710000000006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8997.34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8997.34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74864.05</v>
      </c>
      <c r="AN393" s="970">
        <f t="shared" si="217"/>
        <v>0</v>
      </c>
      <c r="AO393" s="326">
        <f t="shared" si="218"/>
        <v>74864.05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31378.720000000001</v>
      </c>
      <c r="R394" s="324"/>
      <c r="S394" s="27">
        <f t="shared" si="213"/>
        <v>31378.720000000001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31378.720000000001</v>
      </c>
      <c r="AN394" s="970">
        <f t="shared" si="217"/>
        <v>0</v>
      </c>
      <c r="AO394" s="326">
        <f t="shared" si="218"/>
        <v>31378.720000000001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440.22</v>
      </c>
      <c r="R395" s="324"/>
      <c r="S395" s="27">
        <f t="shared" si="213"/>
        <v>440.22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440.22</v>
      </c>
      <c r="AN395" s="970">
        <f t="shared" si="217"/>
        <v>0</v>
      </c>
      <c r="AO395" s="326">
        <f t="shared" si="218"/>
        <v>440.22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13139.57</v>
      </c>
      <c r="R396" s="324">
        <v>54</v>
      </c>
      <c r="S396" s="27">
        <f t="shared" si="213"/>
        <v>13085.57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13139.57</v>
      </c>
      <c r="AN396" s="970">
        <f t="shared" si="217"/>
        <v>54</v>
      </c>
      <c r="AO396" s="326">
        <f t="shared" si="218"/>
        <v>13085.57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5731</v>
      </c>
      <c r="R397" s="324"/>
      <c r="S397" s="27">
        <f t="shared" si="213"/>
        <v>5731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5731</v>
      </c>
      <c r="AN397" s="970">
        <f t="shared" si="217"/>
        <v>0</v>
      </c>
      <c r="AO397" s="326">
        <f t="shared" si="218"/>
        <v>5731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8352.7900000000009</v>
      </c>
      <c r="R398" s="324"/>
      <c r="S398" s="27">
        <f t="shared" si="213"/>
        <v>8352.7900000000009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8352.7900000000009</v>
      </c>
      <c r="AN398" s="970">
        <f t="shared" si="217"/>
        <v>0</v>
      </c>
      <c r="AO398" s="326">
        <f t="shared" si="218"/>
        <v>8352.7900000000009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1020</v>
      </c>
      <c r="R400" s="324"/>
      <c r="S400" s="27">
        <f t="shared" si="213"/>
        <v>1020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7140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7140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8160</v>
      </c>
      <c r="AN400" s="970">
        <f t="shared" si="217"/>
        <v>0</v>
      </c>
      <c r="AO400" s="326">
        <f t="shared" si="218"/>
        <v>8160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64968.13</v>
      </c>
      <c r="R401" s="324"/>
      <c r="S401" s="27">
        <f t="shared" si="213"/>
        <v>64968.13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6311.7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6311.7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71279.83</v>
      </c>
      <c r="AN401" s="970">
        <f t="shared" si="217"/>
        <v>0</v>
      </c>
      <c r="AO401" s="326">
        <f t="shared" si="218"/>
        <v>71279.83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5600.52</v>
      </c>
      <c r="R402" s="324"/>
      <c r="S402" s="27">
        <f t="shared" ref="S402:S407" si="224">+IF(ABS(+O402+Q402)&gt;=ABS(P402+R402),+O402-P402+Q402-R402,0)</f>
        <v>5600.52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5600.52</v>
      </c>
      <c r="AN402" s="2135">
        <f t="shared" ref="AN402:AN409" si="228">+ROUND(+R402+Y402+AF402,2)</f>
        <v>0</v>
      </c>
      <c r="AO402" s="583">
        <f t="shared" si="218"/>
        <v>5600.52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12523.11</v>
      </c>
      <c r="R404" s="324"/>
      <c r="S404" s="27">
        <f t="shared" si="224"/>
        <v>12523.11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12523.11</v>
      </c>
      <c r="AN404" s="2135">
        <f t="shared" si="228"/>
        <v>0</v>
      </c>
      <c r="AO404" s="583">
        <f t="shared" si="218"/>
        <v>12523.11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133350.37</v>
      </c>
      <c r="R405" s="324"/>
      <c r="S405" s="27">
        <f t="shared" si="224"/>
        <v>133350.37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133350.37</v>
      </c>
      <c r="AN405" s="2135">
        <f t="shared" si="228"/>
        <v>0</v>
      </c>
      <c r="AO405" s="583">
        <f t="shared" si="218"/>
        <v>133350.37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25277.91</v>
      </c>
      <c r="R406" s="324"/>
      <c r="S406" s="27">
        <f t="shared" si="224"/>
        <v>25277.91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25277.91</v>
      </c>
      <c r="AN406" s="2135">
        <f t="shared" si="228"/>
        <v>0</v>
      </c>
      <c r="AO406" s="583">
        <f t="shared" si="218"/>
        <v>25277.91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2827.02</v>
      </c>
      <c r="R407" s="324"/>
      <c r="S407" s="27">
        <f t="shared" si="224"/>
        <v>2827.02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2827.02</v>
      </c>
      <c r="AN407" s="2135">
        <f t="shared" si="228"/>
        <v>0</v>
      </c>
      <c r="AO407" s="583">
        <f t="shared" si="218"/>
        <v>2827.02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>
        <v>542391.56999999995</v>
      </c>
      <c r="AF408" s="121"/>
      <c r="AG408" s="27">
        <f t="shared" si="215"/>
        <v>542391.56999999995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542391.56999999995</v>
      </c>
      <c r="AN408" s="2135">
        <f t="shared" si="228"/>
        <v>0</v>
      </c>
      <c r="AO408" s="583">
        <f t="shared" si="218"/>
        <v>542391.56999999995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47.4</v>
      </c>
      <c r="R409" s="324"/>
      <c r="S409" s="27">
        <f>+IF(ABS(+O409+Q409)&gt;=ABS(P409+R409),+O409-P409+Q409-R409,0)</f>
        <v>47.4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47.4</v>
      </c>
      <c r="AN409" s="2135">
        <f t="shared" si="228"/>
        <v>0</v>
      </c>
      <c r="AO409" s="583">
        <f t="shared" si="218"/>
        <v>47.4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34582.26</v>
      </c>
      <c r="R410" s="324"/>
      <c r="S410" s="27">
        <f t="shared" ref="S410:S415" si="231">+IF(ABS(+O410+Q410)&gt;=ABS(P410+R410),+O410-P410+Q410-R410,0)</f>
        <v>34582.26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4517.76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4517.76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39100.019999999997</v>
      </c>
      <c r="AN410" s="970">
        <f t="shared" si="233"/>
        <v>0</v>
      </c>
      <c r="AO410" s="326">
        <f t="shared" si="218"/>
        <v>39100.020000000004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906922.44</v>
      </c>
      <c r="R411" s="324"/>
      <c r="S411" s="27">
        <f t="shared" si="231"/>
        <v>906922.44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34460.03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34460.03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941382.47</v>
      </c>
      <c r="AN411" s="970">
        <f t="shared" si="233"/>
        <v>0</v>
      </c>
      <c r="AO411" s="326">
        <f t="shared" si="218"/>
        <v>941382.47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277251.21000000002</v>
      </c>
      <c r="R412" s="324"/>
      <c r="S412" s="27">
        <f t="shared" si="231"/>
        <v>277251.21000000002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60607.68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60607.68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337858.89</v>
      </c>
      <c r="AN412" s="970">
        <f t="shared" si="233"/>
        <v>0</v>
      </c>
      <c r="AO412" s="326">
        <f t="shared" si="218"/>
        <v>337858.89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41877.72</v>
      </c>
      <c r="R413" s="324"/>
      <c r="S413" s="27">
        <f t="shared" si="231"/>
        <v>41877.72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148.65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148.65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42026.37</v>
      </c>
      <c r="AN413" s="970">
        <f t="shared" si="233"/>
        <v>0</v>
      </c>
      <c r="AO413" s="326">
        <f t="shared" si="218"/>
        <v>42026.37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262752.02</v>
      </c>
      <c r="S416" s="29">
        <v>0</v>
      </c>
      <c r="T416" s="28">
        <f t="shared" ref="T416:T482" si="234">+IF(ABS(+O416+Q416)&lt;=ABS(P416+R416),-O416+P416-Q416+R416,0)</f>
        <v>262752.02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262752.02</v>
      </c>
      <c r="AO416" s="8">
        <v>0</v>
      </c>
      <c r="AP416" s="327">
        <f t="shared" si="219"/>
        <v>262752.02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8781</v>
      </c>
      <c r="R417" s="324">
        <v>86.78</v>
      </c>
      <c r="S417" s="27">
        <f>+IF(ABS(+O417+Q417)&gt;=ABS(P417+R417),+O417-P417+Q417-R417,0)</f>
        <v>8694.2199999999993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8781</v>
      </c>
      <c r="AN417" s="970">
        <f>+ROUND(+R417+Y417+AF417,2)</f>
        <v>86.78</v>
      </c>
      <c r="AO417" s="326">
        <f t="shared" ref="AO417:AO480" si="236">+S417+Z417+AG417</f>
        <v>8694.2199999999993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171230.68</v>
      </c>
      <c r="R418" s="324"/>
      <c r="S418" s="27">
        <f t="shared" ref="S418:S482" si="238">+IF(ABS(+O418+Q418)&gt;=ABS(P418+R418),+O418-P418+Q418-R418,0)</f>
        <v>171230.68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13445.9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13445.9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184676.58</v>
      </c>
      <c r="AN418" s="970">
        <f t="shared" si="233"/>
        <v>0</v>
      </c>
      <c r="AO418" s="326">
        <f t="shared" si="236"/>
        <v>184676.58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61031.95</v>
      </c>
      <c r="R419" s="324"/>
      <c r="S419" s="27">
        <f t="shared" si="238"/>
        <v>61031.95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4954.5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4954.5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65986.45</v>
      </c>
      <c r="AN419" s="970">
        <f t="shared" si="233"/>
        <v>0</v>
      </c>
      <c r="AO419" s="326">
        <f t="shared" si="236"/>
        <v>65986.45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27299.73</v>
      </c>
      <c r="R421" s="324"/>
      <c r="S421" s="27">
        <f t="shared" si="238"/>
        <v>27299.73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2161.69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2161.69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29461.42</v>
      </c>
      <c r="AN421" s="970">
        <f t="shared" si="233"/>
        <v>0</v>
      </c>
      <c r="AO421" s="326">
        <f t="shared" si="236"/>
        <v>29461.42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9622.35</v>
      </c>
      <c r="R425" s="324"/>
      <c r="S425" s="27">
        <f t="shared" si="238"/>
        <v>9622.35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9622.35</v>
      </c>
      <c r="AN425" s="970">
        <f t="shared" si="233"/>
        <v>0</v>
      </c>
      <c r="AO425" s="326">
        <f t="shared" si="236"/>
        <v>9622.35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809.74</v>
      </c>
      <c r="R426" s="324"/>
      <c r="S426" s="27">
        <f t="shared" si="238"/>
        <v>809.74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809.74</v>
      </c>
      <c r="AN426" s="970">
        <f t="shared" si="233"/>
        <v>0</v>
      </c>
      <c r="AO426" s="326">
        <f t="shared" si="236"/>
        <v>809.74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470.05</v>
      </c>
      <c r="R429" s="324"/>
      <c r="S429" s="27">
        <f t="shared" si="238"/>
        <v>470.05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470.05</v>
      </c>
      <c r="AN429" s="970">
        <f t="shared" si="233"/>
        <v>0</v>
      </c>
      <c r="AO429" s="326">
        <f t="shared" si="236"/>
        <v>470.05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372606.31</v>
      </c>
      <c r="R437" s="324"/>
      <c r="S437" s="27">
        <f t="shared" si="238"/>
        <v>372606.31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292577.62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292577.62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665183.93000000005</v>
      </c>
      <c r="AN437" s="970">
        <f t="shared" si="233"/>
        <v>0</v>
      </c>
      <c r="AO437" s="326">
        <f t="shared" si="236"/>
        <v>665183.92999999993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>
        <v>3941.2</v>
      </c>
      <c r="R447" s="324"/>
      <c r="S447" s="27">
        <f>+IF(ABS(+O447+Q447)&gt;=ABS(P447+R447),+O447-P447+Q447-R447,0)</f>
        <v>3941.2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3941.2</v>
      </c>
      <c r="AN447" s="970">
        <f>+ROUND(+R447+Y447+AF447,2)</f>
        <v>0</v>
      </c>
      <c r="AO447" s="326">
        <f t="shared" si="236"/>
        <v>3941.2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53358</v>
      </c>
      <c r="R448" s="324"/>
      <c r="S448" s="27">
        <f t="shared" si="238"/>
        <v>53358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53358</v>
      </c>
      <c r="AN448" s="970">
        <f t="shared" si="233"/>
        <v>0</v>
      </c>
      <c r="AO448" s="326">
        <f t="shared" si="236"/>
        <v>53358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2622.5</v>
      </c>
      <c r="R450" s="324"/>
      <c r="S450" s="27">
        <f t="shared" si="238"/>
        <v>2622.5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2622.5</v>
      </c>
      <c r="AN450" s="970">
        <f t="shared" si="233"/>
        <v>0</v>
      </c>
      <c r="AO450" s="326">
        <f t="shared" si="236"/>
        <v>2622.5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392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392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392</v>
      </c>
      <c r="AN451" s="970">
        <f t="shared" si="233"/>
        <v>0</v>
      </c>
      <c r="AO451" s="326">
        <f t="shared" si="236"/>
        <v>392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43.49</v>
      </c>
      <c r="R452" s="324"/>
      <c r="S452" s="27">
        <f t="shared" si="238"/>
        <v>43.49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43.49</v>
      </c>
      <c r="AN452" s="970">
        <f t="shared" si="233"/>
        <v>0</v>
      </c>
      <c r="AO452" s="326">
        <f t="shared" si="236"/>
        <v>43.49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1941.62</v>
      </c>
      <c r="R454" s="324"/>
      <c r="S454" s="27">
        <f t="shared" si="238"/>
        <v>1941.62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1941.62</v>
      </c>
      <c r="AN454" s="970">
        <f t="shared" si="233"/>
        <v>0</v>
      </c>
      <c r="AO454" s="326">
        <f t="shared" si="236"/>
        <v>1941.62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12" t="s">
        <v>2150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1828.35</v>
      </c>
      <c r="R457" s="324"/>
      <c r="S457" s="27">
        <f t="shared" si="238"/>
        <v>1828.35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1828.35</v>
      </c>
      <c r="AN457" s="970">
        <f t="shared" si="233"/>
        <v>0</v>
      </c>
      <c r="AO457" s="326">
        <f t="shared" si="236"/>
        <v>1828.35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2253.4499999999998</v>
      </c>
      <c r="R458" s="324"/>
      <c r="S458" s="27">
        <f t="shared" si="238"/>
        <v>2253.4499999999998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2253.4499999999998</v>
      </c>
      <c r="AN458" s="970">
        <f t="shared" si="233"/>
        <v>0</v>
      </c>
      <c r="AO458" s="326">
        <f t="shared" si="236"/>
        <v>2253.4499999999998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2153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2154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2155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2156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2157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2158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2159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2160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2161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2162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2163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2164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2165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2166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2167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2168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2169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2170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2171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>
        <v>90</v>
      </c>
      <c r="R478" s="324"/>
      <c r="S478" s="27">
        <f t="shared" si="238"/>
        <v>90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90</v>
      </c>
      <c r="AN478" s="970">
        <f t="shared" si="233"/>
        <v>0</v>
      </c>
      <c r="AO478" s="326">
        <f t="shared" si="236"/>
        <v>90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9933.92</v>
      </c>
      <c r="R480" s="324"/>
      <c r="S480" s="27">
        <f t="shared" si="238"/>
        <v>9933.92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9933.92</v>
      </c>
      <c r="AN480" s="970">
        <f t="shared" si="233"/>
        <v>0</v>
      </c>
      <c r="AO480" s="326">
        <f t="shared" si="236"/>
        <v>9933.92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480</v>
      </c>
      <c r="R511" s="324"/>
      <c r="S511" s="27">
        <f t="shared" si="247"/>
        <v>480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480</v>
      </c>
      <c r="AN511" s="970">
        <f t="shared" si="251"/>
        <v>0</v>
      </c>
      <c r="AO511" s="27">
        <f t="shared" si="245"/>
        <v>480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>
        <v>8496.5</v>
      </c>
      <c r="R513" s="324"/>
      <c r="S513" s="27">
        <f t="shared" si="247"/>
        <v>8496.5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1185.3499999999999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1185.3499999999999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9681.85</v>
      </c>
      <c r="AN513" s="970">
        <f t="shared" si="251"/>
        <v>0</v>
      </c>
      <c r="AO513" s="27">
        <f t="shared" si="245"/>
        <v>9681.85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34308</v>
      </c>
      <c r="R525" s="324"/>
      <c r="S525" s="27">
        <f t="shared" si="247"/>
        <v>34308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8000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8000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42308</v>
      </c>
      <c r="AN525" s="970">
        <f t="shared" si="251"/>
        <v>0</v>
      </c>
      <c r="AO525" s="27">
        <f t="shared" si="245"/>
        <v>42308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>
        <v>259</v>
      </c>
      <c r="R527" s="324"/>
      <c r="S527" s="27">
        <f t="shared" si="247"/>
        <v>259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259</v>
      </c>
      <c r="AN527" s="970">
        <f t="shared" si="251"/>
        <v>0</v>
      </c>
      <c r="AO527" s="27">
        <f t="shared" si="245"/>
        <v>259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81882</v>
      </c>
      <c r="R534" s="324"/>
      <c r="S534" s="27">
        <f t="shared" si="247"/>
        <v>81882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81882</v>
      </c>
      <c r="AN534" s="970">
        <f t="shared" si="251"/>
        <v>0</v>
      </c>
      <c r="AO534" s="27">
        <f t="shared" si="245"/>
        <v>81882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>
        <v>40.119999999999997</v>
      </c>
      <c r="R595" s="324"/>
      <c r="S595" s="27">
        <f t="shared" si="298"/>
        <v>40.119999999999997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40.119999999999997</v>
      </c>
      <c r="AN595" s="970">
        <f t="shared" si="304"/>
        <v>0</v>
      </c>
      <c r="AO595" s="27">
        <f t="shared" si="289"/>
        <v>40.119999999999997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>
        <v>190080.03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190080.03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190080.03</v>
      </c>
      <c r="AO602" s="27">
        <f>+S602+Z602+AG602</f>
        <v>0</v>
      </c>
      <c r="AP602" s="28">
        <f>+T602+AA602+AH602</f>
        <v>190080.03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1937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>
        <v>97619.87</v>
      </c>
      <c r="S606" s="27">
        <f t="shared" si="309"/>
        <v>0</v>
      </c>
      <c r="T606" s="28">
        <f>+IF(ABS(+O606+Q606)&lt;=ABS(P606+R606),-O606+P606-Q606+R606,0)</f>
        <v>97619.87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97619.87</v>
      </c>
      <c r="AO606" s="27">
        <f>+S606+Z606+AG606</f>
        <v>0</v>
      </c>
      <c r="AP606" s="28">
        <f>+T606+AA606+AH606</f>
        <v>97619.87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1938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1939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1940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/>
      <c r="R610" s="324">
        <v>63216.37</v>
      </c>
      <c r="S610" s="27">
        <f t="shared" si="309"/>
        <v>0</v>
      </c>
      <c r="T610" s="28">
        <f t="shared" si="316"/>
        <v>63216.37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63216.37</v>
      </c>
      <c r="AO610" s="27">
        <f t="shared" si="315"/>
        <v>0</v>
      </c>
      <c r="AP610" s="28">
        <f t="shared" si="318"/>
        <v>63216.37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>
        <v>7635.77</v>
      </c>
      <c r="S612" s="27">
        <f t="shared" si="309"/>
        <v>0</v>
      </c>
      <c r="T612" s="28">
        <f t="shared" si="316"/>
        <v>7635.77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7635.77</v>
      </c>
      <c r="AO612" s="27">
        <f t="shared" si="315"/>
        <v>0</v>
      </c>
      <c r="AP612" s="28">
        <f t="shared" si="318"/>
        <v>7635.77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>
        <v>76</v>
      </c>
      <c r="S613" s="27">
        <f t="shared" si="309"/>
        <v>0</v>
      </c>
      <c r="T613" s="28">
        <f t="shared" si="316"/>
        <v>76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76</v>
      </c>
      <c r="AO613" s="27">
        <f t="shared" si="315"/>
        <v>0</v>
      </c>
      <c r="AP613" s="28">
        <f t="shared" si="318"/>
        <v>76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>
        <v>2134.86</v>
      </c>
      <c r="S615" s="27">
        <f t="shared" si="309"/>
        <v>0</v>
      </c>
      <c r="T615" s="28">
        <f t="shared" si="316"/>
        <v>2134.86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2134.86</v>
      </c>
      <c r="AO615" s="27">
        <f t="shared" si="315"/>
        <v>0</v>
      </c>
      <c r="AP615" s="28">
        <f t="shared" si="318"/>
        <v>2134.86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>
        <v>2443.1999999999998</v>
      </c>
      <c r="S616" s="27">
        <f t="shared" si="309"/>
        <v>0</v>
      </c>
      <c r="T616" s="28">
        <f t="shared" si="316"/>
        <v>2443.1999999999998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2443.1999999999998</v>
      </c>
      <c r="AO616" s="27">
        <f t="shared" si="315"/>
        <v>0</v>
      </c>
      <c r="AP616" s="28">
        <f t="shared" si="318"/>
        <v>2443.1999999999998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>
        <v>15061.3</v>
      </c>
      <c r="S619" s="27">
        <f t="shared" si="309"/>
        <v>0</v>
      </c>
      <c r="T619" s="28">
        <f t="shared" si="316"/>
        <v>15061.3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15061.3</v>
      </c>
      <c r="AO619" s="27">
        <f t="shared" si="315"/>
        <v>0</v>
      </c>
      <c r="AP619" s="28">
        <f t="shared" si="318"/>
        <v>15061.3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>
        <v>94430.94</v>
      </c>
      <c r="S621" s="27">
        <f t="shared" si="309"/>
        <v>0</v>
      </c>
      <c r="T621" s="28">
        <f t="shared" si="316"/>
        <v>94430.94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94430.94</v>
      </c>
      <c r="AO621" s="27">
        <f t="shared" si="315"/>
        <v>0</v>
      </c>
      <c r="AP621" s="28">
        <f t="shared" si="318"/>
        <v>94430.94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>
        <v>5000</v>
      </c>
      <c r="S634" s="27">
        <f t="shared" si="309"/>
        <v>0</v>
      </c>
      <c r="T634" s="28">
        <f t="shared" si="316"/>
        <v>5000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5000</v>
      </c>
      <c r="AO634" s="27">
        <f t="shared" si="315"/>
        <v>0</v>
      </c>
      <c r="AP634" s="28">
        <f t="shared" si="318"/>
        <v>5000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91">
        <v>7170</v>
      </c>
      <c r="B640" s="2292" t="s">
        <v>625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265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>
        <v>1139.17</v>
      </c>
      <c r="R641" s="324"/>
      <c r="S641" s="27">
        <f t="shared" ref="S641:S666" si="320">+IF(ABS(+O641+Q641)&gt;=ABS(P641+R641),+O641-P641+Q641-R641,0)</f>
        <v>1139.17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1139.17</v>
      </c>
      <c r="AN641" s="970">
        <f t="shared" si="324"/>
        <v>0</v>
      </c>
      <c r="AO641" s="27">
        <f t="shared" si="315"/>
        <v>1139.17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21007.72</v>
      </c>
      <c r="R654" s="324"/>
      <c r="S654" s="27">
        <f>+IF(ABS(+O654+Q654)&gt;=ABS(P654+R654),+O654-P654+Q654-R654,0)</f>
        <v>21007.72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21007.72</v>
      </c>
      <c r="AN654" s="970">
        <f>+ROUND(+R654+Y654+AF654,2)</f>
        <v>0</v>
      </c>
      <c r="AO654" s="27">
        <f t="shared" si="315"/>
        <v>21007.72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>
        <v>911</v>
      </c>
      <c r="S658" s="27">
        <f t="shared" si="320"/>
        <v>0</v>
      </c>
      <c r="T658" s="28">
        <f t="shared" si="321"/>
        <v>911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911</v>
      </c>
      <c r="AO658" s="27">
        <f t="shared" si="315"/>
        <v>0</v>
      </c>
      <c r="AP658" s="28">
        <f t="shared" si="318"/>
        <v>911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91">
        <v>7220</v>
      </c>
      <c r="B667" s="2303" t="s">
        <v>647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265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>
        <v>77.72</v>
      </c>
      <c r="S679" s="27">
        <f t="shared" si="337"/>
        <v>0</v>
      </c>
      <c r="T679" s="28">
        <f t="shared" si="338"/>
        <v>77.72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1.1200000000000001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1.1200000000000001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78.84</v>
      </c>
      <c r="AO679" s="27">
        <f t="shared" si="335"/>
        <v>0</v>
      </c>
      <c r="AP679" s="28">
        <f t="shared" si="336"/>
        <v>78.84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>
        <v>8040.19</v>
      </c>
      <c r="S683" s="27">
        <f t="shared" si="337"/>
        <v>0</v>
      </c>
      <c r="T683" s="28">
        <f t="shared" si="338"/>
        <v>8040.19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8040.19</v>
      </c>
      <c r="AO683" s="27">
        <f t="shared" si="335"/>
        <v>0</v>
      </c>
      <c r="AP683" s="28">
        <f t="shared" si="336"/>
        <v>8040.19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>
        <v>-8485</v>
      </c>
      <c r="R706" s="324"/>
      <c r="S706" s="27">
        <f t="shared" si="347"/>
        <v>-8485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-8485</v>
      </c>
      <c r="AN706" s="970">
        <f t="shared" si="341"/>
        <v>0</v>
      </c>
      <c r="AO706" s="27">
        <f t="shared" si="335"/>
        <v>-8485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>
        <v>1000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1000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1000</v>
      </c>
      <c r="AO716" s="27">
        <f t="shared" si="335"/>
        <v>0</v>
      </c>
      <c r="AP716" s="28">
        <f t="shared" si="336"/>
        <v>1000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>
        <v>5005.22</v>
      </c>
      <c r="S718" s="27">
        <f t="shared" si="356"/>
        <v>0</v>
      </c>
      <c r="T718" s="28">
        <f t="shared" si="357"/>
        <v>5005.22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0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5005.22</v>
      </c>
      <c r="AO718" s="27">
        <f t="shared" si="335"/>
        <v>0</v>
      </c>
      <c r="AP718" s="28">
        <f t="shared" si="336"/>
        <v>5005.22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2090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1915165</v>
      </c>
      <c r="R740" s="324">
        <v>1915165</v>
      </c>
      <c r="S740" s="27">
        <f t="shared" si="356"/>
        <v>0</v>
      </c>
      <c r="T740" s="28">
        <f t="shared" si="357"/>
        <v>0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1915165</v>
      </c>
      <c r="AN740" s="970">
        <f t="shared" si="341"/>
        <v>1915165</v>
      </c>
      <c r="AO740" s="27">
        <f t="shared" si="360"/>
        <v>0</v>
      </c>
      <c r="AP740" s="28">
        <f t="shared" si="361"/>
        <v>0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194</v>
      </c>
      <c r="R742" s="324">
        <v>2508194.6</v>
      </c>
      <c r="S742" s="27">
        <f t="shared" si="356"/>
        <v>0</v>
      </c>
      <c r="T742" s="28">
        <f t="shared" si="357"/>
        <v>2508000.6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194</v>
      </c>
      <c r="AN742" s="970">
        <f t="shared" si="341"/>
        <v>2508194.6</v>
      </c>
      <c r="AO742" s="27">
        <f t="shared" si="360"/>
        <v>0</v>
      </c>
      <c r="AP742" s="28">
        <f t="shared" si="361"/>
        <v>2508000.6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/>
      <c r="R744" s="324">
        <v>348235.91</v>
      </c>
      <c r="S744" s="27">
        <f t="shared" si="356"/>
        <v>0</v>
      </c>
      <c r="T744" s="28">
        <f t="shared" si="357"/>
        <v>348235.91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348235.91</v>
      </c>
      <c r="AO744" s="27">
        <f t="shared" si="360"/>
        <v>0</v>
      </c>
      <c r="AP744" s="28">
        <f t="shared" si="361"/>
        <v>348235.91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>
        <v>32992.17</v>
      </c>
      <c r="R745" s="324">
        <v>40604.129999999997</v>
      </c>
      <c r="S745" s="27">
        <f t="shared" si="356"/>
        <v>0</v>
      </c>
      <c r="T745" s="28">
        <f t="shared" si="357"/>
        <v>7611.9599999999991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32992.17</v>
      </c>
      <c r="AN745" s="970">
        <f t="shared" si="341"/>
        <v>40604.129999999997</v>
      </c>
      <c r="AO745" s="27">
        <f t="shared" si="360"/>
        <v>0</v>
      </c>
      <c r="AP745" s="28">
        <f t="shared" si="361"/>
        <v>7611.9599999999991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0</v>
      </c>
      <c r="Y747" s="529">
        <f>+'NF-KSF-TRIAL-BAL-2021'!R747+'RA-TRIAL-BAL-2021'!R747+'DES-TRIAL-BAL-2021'!R747+'DMP-TRIAL-BAL-2021'!R747</f>
        <v>116732.52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116732.52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116732.52</v>
      </c>
      <c r="AO747" s="27">
        <f t="shared" si="360"/>
        <v>0</v>
      </c>
      <c r="AP747" s="28">
        <f t="shared" si="361"/>
        <v>116732.52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2182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06" t="s">
        <v>2183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2184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06" t="s">
        <v>2185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2110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19520489.620000001</v>
      </c>
      <c r="P829" s="13">
        <f t="shared" si="419"/>
        <v>19520489.620000001</v>
      </c>
      <c r="Q829" s="32">
        <f t="shared" si="419"/>
        <v>15430306.109999999</v>
      </c>
      <c r="R829" s="33">
        <f t="shared" si="419"/>
        <v>15430306.109999999</v>
      </c>
      <c r="S829" s="32">
        <f t="shared" si="419"/>
        <v>23053098.350000001</v>
      </c>
      <c r="T829" s="34">
        <f t="shared" si="419"/>
        <v>23053098.350000001</v>
      </c>
      <c r="U829" s="51"/>
      <c r="V829" s="840">
        <f t="shared" ref="V829:AA829" si="420">+ROUND(+SUM(V14:V828),2)</f>
        <v>5892916.4900000002</v>
      </c>
      <c r="W829" s="841">
        <f t="shared" si="420"/>
        <v>5892916.4900000002</v>
      </c>
      <c r="X829" s="842">
        <f t="shared" si="420"/>
        <v>1794335.24</v>
      </c>
      <c r="Y829" s="843">
        <f t="shared" si="420"/>
        <v>1794335.24</v>
      </c>
      <c r="Z829" s="844">
        <f t="shared" si="420"/>
        <v>6317539.75</v>
      </c>
      <c r="AA829" s="845">
        <f t="shared" si="420"/>
        <v>6317539.75</v>
      </c>
      <c r="AB829" s="51"/>
      <c r="AC829" s="882">
        <f t="shared" ref="AC829:AH829" si="421">+ROUND(+SUM(AC14:AC828),2)</f>
        <v>65153601.780000001</v>
      </c>
      <c r="AD829" s="883">
        <f t="shared" si="421"/>
        <v>65153601.780000001</v>
      </c>
      <c r="AE829" s="884">
        <f t="shared" si="421"/>
        <v>804245.54</v>
      </c>
      <c r="AF829" s="885">
        <f t="shared" si="421"/>
        <v>804245.54</v>
      </c>
      <c r="AG829" s="886">
        <f t="shared" si="421"/>
        <v>65702697.420000002</v>
      </c>
      <c r="AH829" s="887">
        <f t="shared" si="421"/>
        <v>65702697.420000002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90567007.890000001</v>
      </c>
      <c r="AL829" s="1538">
        <f t="shared" si="422"/>
        <v>90567007.890000001</v>
      </c>
      <c r="AM829" s="1539">
        <f t="shared" si="422"/>
        <v>18028886.890000001</v>
      </c>
      <c r="AN829" s="1540">
        <f t="shared" si="422"/>
        <v>18028886.890000001</v>
      </c>
      <c r="AO829" s="1539">
        <f t="shared" si="422"/>
        <v>95073335.519999996</v>
      </c>
      <c r="AP829" s="1541">
        <f t="shared" si="422"/>
        <v>95073335.519999996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/>
      <c r="P832" s="329">
        <v>0</v>
      </c>
      <c r="Q832" s="325"/>
      <c r="R832" s="324"/>
      <c r="S832" s="326">
        <f>+IF(ABS(+O832+Q832)&gt;=ABS(P832+R832),+O832-P832+Q832-R832,0)</f>
        <v>0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634710.81000000006</v>
      </c>
      <c r="P833" s="9">
        <v>0</v>
      </c>
      <c r="Q833" s="122"/>
      <c r="R833" s="121"/>
      <c r="S833" s="27">
        <f>+IF(ABS(+O833+Q833)&gt;=ABS(P833+R833),+O833-P833+Q833-R833,0)</f>
        <v>634710.81000000006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634710.81000000006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634710.81000000006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767796.14</v>
      </c>
      <c r="Q835" s="122">
        <v>1014721.53</v>
      </c>
      <c r="R835" s="324">
        <v>3639712.03</v>
      </c>
      <c r="S835" s="29">
        <v>0</v>
      </c>
      <c r="T835" s="28">
        <f>+IF(ABS(+O835+Q835)&lt;=ABS(P835+R835),-O835+P835-Q835+R835,0)</f>
        <v>3392786.6399999997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1427278.03</v>
      </c>
      <c r="X835" s="528">
        <f>+'NF-KSF-TRIAL-BAL-2021'!Q835+'RA-TRIAL-BAL-2021'!Q835+'DES-TRIAL-BAL-2021'!Q835+'DMP-TRIAL-BAL-2021'!Q835</f>
        <v>329399.32</v>
      </c>
      <c r="Y835" s="529">
        <f>+'NF-KSF-TRIAL-BAL-2021'!R835+'RA-TRIAL-BAL-2021'!R835+'DES-TRIAL-BAL-2021'!R835+'DMP-TRIAL-BAL-2021'!R835</f>
        <v>100440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1198318.71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2195074.17</v>
      </c>
      <c r="AM835" s="326">
        <f t="shared" si="425"/>
        <v>1344120.85</v>
      </c>
      <c r="AN835" s="970">
        <f t="shared" si="425"/>
        <v>3740152.03</v>
      </c>
      <c r="AO835" s="330">
        <v>0</v>
      </c>
      <c r="AP835" s="28">
        <f>+T835+AA835+AH835</f>
        <v>4591105.3499999996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477220.38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22168.35</v>
      </c>
      <c r="Y839" s="529">
        <f>+'NF-KSF-TRIAL-BAL-2021'!R839+'RA-TRIAL-BAL-2021'!R839+'DES-TRIAL-BAL-2021'!R839+'DMP-TRIAL-BAL-2021'!R839</f>
        <v>44336.7</v>
      </c>
      <c r="Z839" s="528">
        <f>+'NF-KSF-TRIAL-BAL-2021'!S839+'RA-TRIAL-BAL-2021'!S839+'DES-TRIAL-BAL-2021'!S839+'DMP-TRIAL-BAL-2021'!S839</f>
        <v>455052.02999999997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477220.38</v>
      </c>
      <c r="AL839" s="9">
        <v>0</v>
      </c>
      <c r="AM839" s="326">
        <f t="shared" si="429"/>
        <v>22168.35</v>
      </c>
      <c r="AN839" s="970">
        <f t="shared" si="429"/>
        <v>44336.7</v>
      </c>
      <c r="AO839" s="27">
        <f>+S839+Z839+AG839</f>
        <v>455052.02999999997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>
        <v>192619</v>
      </c>
      <c r="P846" s="9">
        <v>0</v>
      </c>
      <c r="Q846" s="122"/>
      <c r="R846" s="324"/>
      <c r="S846" s="27">
        <f>+IF(ABS(+O846+Q846)&gt;=ABS(P846+R846),+O846-P846+Q846-R846,0)</f>
        <v>192619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192619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192619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>
        <v>909425.54</v>
      </c>
      <c r="Q848" s="122"/>
      <c r="R848" s="324"/>
      <c r="S848" s="29">
        <v>0</v>
      </c>
      <c r="T848" s="28">
        <f t="shared" si="430"/>
        <v>909425.54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4029652.79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4029652.79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4939078.33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4939078.33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3310712.03</v>
      </c>
      <c r="R849" s="576"/>
      <c r="S849" s="583">
        <f t="shared" ref="S849:S867" si="433">+IF(ABS(+O849+Q849)&gt;=ABS(P849+R849),+O849-P849+Q849-R849,0)</f>
        <v>3310712.03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3310712.03</v>
      </c>
      <c r="AN849" s="970">
        <f t="shared" si="429"/>
        <v>0</v>
      </c>
      <c r="AO849" s="27">
        <f t="shared" ref="AO849:AO867" si="435">+S849+Z849+AG849</f>
        <v>3310712.03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468526.97</v>
      </c>
      <c r="R850" s="576"/>
      <c r="S850" s="583">
        <f t="shared" si="433"/>
        <v>468526.97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35982.879999999997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35982.879999999997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504509.85</v>
      </c>
      <c r="AN850" s="970">
        <f t="shared" si="429"/>
        <v>0</v>
      </c>
      <c r="AO850" s="27">
        <f t="shared" si="435"/>
        <v>504509.85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1047208.5</v>
      </c>
      <c r="S851" s="583">
        <f t="shared" si="433"/>
        <v>0</v>
      </c>
      <c r="T851" s="580">
        <f t="shared" si="430"/>
        <v>1047208.5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364692.2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364692.2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1411900.7</v>
      </c>
      <c r="AO851" s="27">
        <f t="shared" si="435"/>
        <v>0</v>
      </c>
      <c r="AP851" s="28">
        <f t="shared" si="431"/>
        <v>1411900.7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>
        <v>329000</v>
      </c>
      <c r="R852" s="576">
        <v>429440</v>
      </c>
      <c r="S852" s="583">
        <f t="shared" si="433"/>
        <v>0</v>
      </c>
      <c r="T852" s="580">
        <f t="shared" si="430"/>
        <v>100440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100440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100440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429440</v>
      </c>
      <c r="AN852" s="970">
        <f t="shared" si="429"/>
        <v>429440</v>
      </c>
      <c r="AO852" s="27">
        <f t="shared" si="435"/>
        <v>100440</v>
      </c>
      <c r="AP852" s="28">
        <f t="shared" si="431"/>
        <v>100440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690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690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690</v>
      </c>
      <c r="AO855" s="27">
        <f t="shared" si="435"/>
        <v>0</v>
      </c>
      <c r="AP855" s="28">
        <f t="shared" si="431"/>
        <v>690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>
        <v>6600</v>
      </c>
      <c r="S856" s="583">
        <f t="shared" si="433"/>
        <v>0</v>
      </c>
      <c r="T856" s="580">
        <f t="shared" si="430"/>
        <v>6600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6600</v>
      </c>
      <c r="AO856" s="27">
        <f t="shared" si="435"/>
        <v>0</v>
      </c>
      <c r="AP856" s="28">
        <f t="shared" si="431"/>
        <v>6600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1047208.5</v>
      </c>
      <c r="S857" s="583">
        <f t="shared" si="433"/>
        <v>0</v>
      </c>
      <c r="T857" s="580">
        <f t="shared" si="430"/>
        <v>1047208.5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364543.3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364543.3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1411751.8</v>
      </c>
      <c r="AO857" s="27">
        <f t="shared" si="435"/>
        <v>0</v>
      </c>
      <c r="AP857" s="28">
        <f t="shared" si="431"/>
        <v>1411751.8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1623779.94</v>
      </c>
      <c r="P858" s="9">
        <v>0</v>
      </c>
      <c r="Q858" s="122">
        <v>13303.62</v>
      </c>
      <c r="R858" s="324"/>
      <c r="S858" s="27">
        <f t="shared" si="433"/>
        <v>1637083.56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1623779.94</v>
      </c>
      <c r="AL858" s="9">
        <v>0</v>
      </c>
      <c r="AM858" s="326">
        <f t="shared" si="429"/>
        <v>13303.62</v>
      </c>
      <c r="AN858" s="970">
        <f t="shared" si="429"/>
        <v>0</v>
      </c>
      <c r="AO858" s="27">
        <f t="shared" si="435"/>
        <v>1637083.56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>
        <v>2021</v>
      </c>
      <c r="P860" s="9">
        <v>0</v>
      </c>
      <c r="Q860" s="122"/>
      <c r="R860" s="324"/>
      <c r="S860" s="27">
        <f t="shared" si="433"/>
        <v>2021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2021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2021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29433</v>
      </c>
      <c r="P861" s="9">
        <v>0</v>
      </c>
      <c r="Q861" s="122"/>
      <c r="R861" s="324"/>
      <c r="S861" s="27">
        <f t="shared" si="433"/>
        <v>29433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29433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29433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>
        <v>510221</v>
      </c>
      <c r="P863" s="9">
        <v>0</v>
      </c>
      <c r="Q863" s="122">
        <v>-35087</v>
      </c>
      <c r="R863" s="324"/>
      <c r="S863" s="27">
        <f t="shared" si="433"/>
        <v>475134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510221</v>
      </c>
      <c r="AL863" s="9">
        <v>0</v>
      </c>
      <c r="AM863" s="326">
        <f t="shared" si="429"/>
        <v>-35087</v>
      </c>
      <c r="AN863" s="970">
        <f t="shared" si="429"/>
        <v>0</v>
      </c>
      <c r="AO863" s="27">
        <f t="shared" si="435"/>
        <v>475134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22785.35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22785.35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22785.35</v>
      </c>
      <c r="AO878" s="27">
        <f t="shared" si="450"/>
        <v>0</v>
      </c>
      <c r="AP878" s="28">
        <f t="shared" si="443"/>
        <v>22785.35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3006801.47</v>
      </c>
      <c r="Q886" s="122"/>
      <c r="R886" s="324">
        <v>-21783.38</v>
      </c>
      <c r="S886" s="29">
        <v>0</v>
      </c>
      <c r="T886" s="28">
        <f>+IF(ABS(+O886+Q886)&lt;=ABS(P886+R886),-O886+P886-Q886+R886,0)</f>
        <v>2985018.0900000003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477220.38</v>
      </c>
      <c r="X886" s="528">
        <f>+'NF-KSF-TRIAL-BAL-2021'!Q886+'RA-TRIAL-BAL-2021'!Q886+'DES-TRIAL-BAL-2021'!Q886+'DMP-TRIAL-BAL-2021'!Q886</f>
        <v>44336.7</v>
      </c>
      <c r="Y886" s="529">
        <f>+'NF-KSF-TRIAL-BAL-2021'!R886+'RA-TRIAL-BAL-2021'!R886+'DES-TRIAL-BAL-2021'!R886+'DMP-TRIAL-BAL-2021'!R886</f>
        <v>22168.35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455052.02999999997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3484021.85</v>
      </c>
      <c r="AM886" s="326">
        <f t="shared" si="429"/>
        <v>44336.7</v>
      </c>
      <c r="AN886" s="970">
        <f t="shared" si="429"/>
        <v>384.97</v>
      </c>
      <c r="AO886" s="330">
        <v>0</v>
      </c>
      <c r="AP886" s="28">
        <f>+T886+AA886+AH886</f>
        <v>3440070.12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1691238.3999999999</v>
      </c>
      <c r="P887" s="37">
        <v>0</v>
      </c>
      <c r="Q887" s="124">
        <v>1047208.5</v>
      </c>
      <c r="R887" s="125"/>
      <c r="S887" s="27">
        <f>+IF(ABS(+O887+Q887)&gt;=ABS(P887+R887),+O887-P887+Q887-R887,0)</f>
        <v>2738446.9</v>
      </c>
      <c r="T887" s="30">
        <v>0</v>
      </c>
      <c r="U887" s="51"/>
      <c r="V887" s="544">
        <f>+'NF-KSF-TRIAL-BAL-2021'!O887+'RA-TRIAL-BAL-2021'!O887+'DES-TRIAL-BAL-2021'!O887+'DMP-TRIAL-BAL-2021'!O887</f>
        <v>5456930.8200000003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387328.65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5844259.4700000007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7148169.2199999997</v>
      </c>
      <c r="AL887" s="37">
        <v>0</v>
      </c>
      <c r="AM887" s="1057">
        <f t="shared" si="429"/>
        <v>1434537.15</v>
      </c>
      <c r="AN887" s="1499">
        <f t="shared" si="429"/>
        <v>0</v>
      </c>
      <c r="AO887" s="1057">
        <f>+S887+Z887+AG887</f>
        <v>8582706.370000001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4684023.1500000004</v>
      </c>
      <c r="P888" s="13">
        <f t="shared" si="455"/>
        <v>4684023.1500000004</v>
      </c>
      <c r="Q888" s="32">
        <f t="shared" si="455"/>
        <v>6148385.6500000004</v>
      </c>
      <c r="R888" s="33">
        <f t="shared" si="455"/>
        <v>6148385.6500000004</v>
      </c>
      <c r="S888" s="32">
        <f t="shared" si="455"/>
        <v>9488687.2699999996</v>
      </c>
      <c r="T888" s="34">
        <f t="shared" si="455"/>
        <v>9488687.2699999996</v>
      </c>
      <c r="U888" s="51"/>
      <c r="V888" s="840">
        <f t="shared" ref="V888:AA888" si="456">+ROUND(SUM(V831:V887),2)</f>
        <v>5934151.2000000002</v>
      </c>
      <c r="W888" s="843">
        <f t="shared" si="456"/>
        <v>5934151.2000000002</v>
      </c>
      <c r="X888" s="842">
        <f t="shared" si="456"/>
        <v>919655.9</v>
      </c>
      <c r="Y888" s="843">
        <f t="shared" si="456"/>
        <v>919655.9</v>
      </c>
      <c r="Z888" s="844">
        <f t="shared" si="456"/>
        <v>6435734.3799999999</v>
      </c>
      <c r="AA888" s="845">
        <f t="shared" si="456"/>
        <v>6435734.3799999999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10618174.35</v>
      </c>
      <c r="AL888" s="1548">
        <f t="shared" si="458"/>
        <v>10618174.35</v>
      </c>
      <c r="AM888" s="1544">
        <f t="shared" si="458"/>
        <v>7068041.5499999998</v>
      </c>
      <c r="AN888" s="1546">
        <f t="shared" si="458"/>
        <v>7068041.5499999998</v>
      </c>
      <c r="AO888" s="1544">
        <f t="shared" si="458"/>
        <v>15924421.65</v>
      </c>
      <c r="AP888" s="1545">
        <f t="shared" si="458"/>
        <v>15924421.65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24204512.77</v>
      </c>
      <c r="P890" s="290">
        <f t="shared" si="459"/>
        <v>24204512.77</v>
      </c>
      <c r="Q890" s="291">
        <f t="shared" si="459"/>
        <v>21578691.760000002</v>
      </c>
      <c r="R890" s="292">
        <f t="shared" si="459"/>
        <v>21578691.760000002</v>
      </c>
      <c r="S890" s="291">
        <f t="shared" si="459"/>
        <v>32541785.620000001</v>
      </c>
      <c r="T890" s="293">
        <f t="shared" si="459"/>
        <v>32541785.620000001</v>
      </c>
      <c r="U890" s="51"/>
      <c r="V890" s="430">
        <f t="shared" ref="V890:AA890" si="460">+ROUND(+V829+V888,2)</f>
        <v>11827067.689999999</v>
      </c>
      <c r="W890" s="431">
        <f t="shared" si="460"/>
        <v>11827067.689999999</v>
      </c>
      <c r="X890" s="432">
        <f t="shared" si="460"/>
        <v>2713991.14</v>
      </c>
      <c r="Y890" s="431">
        <f t="shared" si="460"/>
        <v>2713991.14</v>
      </c>
      <c r="Z890" s="432">
        <f t="shared" si="460"/>
        <v>12753274.130000001</v>
      </c>
      <c r="AA890" s="433">
        <f t="shared" si="460"/>
        <v>12753274.130000001</v>
      </c>
      <c r="AB890" s="51"/>
      <c r="AC890" s="294">
        <f t="shared" ref="AC890:AH890" si="461">+ROUND(+AC829+AC888,2)</f>
        <v>65153601.780000001</v>
      </c>
      <c r="AD890" s="295">
        <f t="shared" si="461"/>
        <v>65153601.780000001</v>
      </c>
      <c r="AE890" s="296">
        <f t="shared" si="461"/>
        <v>804245.54</v>
      </c>
      <c r="AF890" s="297">
        <f t="shared" si="461"/>
        <v>804245.54</v>
      </c>
      <c r="AG890" s="298">
        <f t="shared" si="461"/>
        <v>65702697.420000002</v>
      </c>
      <c r="AH890" s="299">
        <f t="shared" si="461"/>
        <v>65702697.420000002</v>
      </c>
      <c r="AI890" s="51"/>
      <c r="AJ890" s="1549" t="str">
        <f t="shared" si="423"/>
        <v>Общо</v>
      </c>
      <c r="AK890" s="1550">
        <f t="shared" ref="AK890:AP890" si="462">+ROUND(+AK829+AK888,2)</f>
        <v>101185182.23999999</v>
      </c>
      <c r="AL890" s="1551">
        <f t="shared" si="462"/>
        <v>101185182.23999999</v>
      </c>
      <c r="AM890" s="1552">
        <f t="shared" si="462"/>
        <v>25096928.440000001</v>
      </c>
      <c r="AN890" s="1551">
        <f t="shared" si="462"/>
        <v>25096928.440000001</v>
      </c>
      <c r="AO890" s="1552">
        <f t="shared" si="462"/>
        <v>110997757.17</v>
      </c>
      <c r="AP890" s="1553">
        <f t="shared" si="462"/>
        <v>110997757.17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1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1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1982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1984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2101</v>
      </c>
      <c r="AA913" s="2196" t="s">
        <v>2102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2.2191670723259449E-10</v>
      </c>
      <c r="W914" s="2189">
        <f>+ROUND(W829,2)-ROUND('NF-KSF-TRIAL-BAL-2021'!P829,2)-ROUND('RA-TRIAL-BAL-2021'!P829,2)-ROUND('DES-TRIAL-BAL-2021'!P829,2)-ROUND('DMP-TRIAL-BAL-2021'!P829,2)</f>
        <v>2.2191670723259449E-10</v>
      </c>
      <c r="X914" s="2190">
        <f>+ROUND(X829,2)-ROUND('NF-KSF-TRIAL-BAL-2021'!Q829,2)-ROUND('RA-TRIAL-BAL-2021'!Q829,2)-ROUND('DES-TRIAL-BAL-2021'!Q829,2)-ROUND('DMP-TRIAL-BAL-2021'!Q829,2)</f>
        <v>5.5877080740174279E-11</v>
      </c>
      <c r="Y914" s="2189">
        <f>+ROUND(Y829,2)-ROUND('NF-KSF-TRIAL-BAL-2021'!R829,2)-ROUND('RA-TRIAL-BAL-2021'!R829,2)-ROUND('DES-TRIAL-BAL-2021'!R829,2)-ROUND('DMP-TRIAL-BAL-2021'!R829,2)</f>
        <v>5.5877080740174279E-11</v>
      </c>
      <c r="Z914" s="2190">
        <f>+ROUND(Z829,2)-ROUND('NF-KSF-TRIAL-BAL-2021'!S829,2)-ROUND('RA-TRIAL-BAL-2021'!S829,2)-ROUND('DES-TRIAL-BAL-2021'!S829,2)-ROUND('DMP-TRIAL-BAL-2021'!S829,2)</f>
        <v>2.2191670723259449E-10</v>
      </c>
      <c r="AA914" s="2192">
        <f>+ROUND(AA829,2)-ROUND('NF-KSF-TRIAL-BAL-2021'!T829,2)-ROUND('RA-TRIAL-BAL-2021'!T829,2)-ROUND('DES-TRIAL-BAL-2021'!T829,2)-ROUND('DMP-TRIAL-BAL-2021'!T829,2)</f>
        <v>2.2191670723259449E-10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zoomScaleNormal="100" workbookViewId="0">
      <selection activeCell="N25" sqref="N25"/>
    </sheetView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59" t="str">
        <f>+'TRIAL-BALANCE'!E2:L2</f>
        <v>ОБЩИНА ГУЛЯНЦИ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70"/>
      <c r="B4" s="2470"/>
      <c r="C4" s="2470"/>
      <c r="D4" s="2471">
        <f>+'TRIAL-BALANCE'!D4:E4</f>
        <v>0</v>
      </c>
      <c r="E4" s="2472"/>
      <c r="F4" s="1919" t="s">
        <v>1950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43"/>
      <c r="O4" s="43"/>
    </row>
    <row r="5" spans="1:1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534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57">
        <f>+'TRIAL-BALANCE'!K10:L10</f>
        <v>44314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31 март 2021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1987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>
        <v>508060</v>
      </c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1988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-103353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>
        <v>-102961</v>
      </c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>
        <v>0</v>
      </c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>
        <v>-392</v>
      </c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>
        <v>0</v>
      </c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1989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>
        <v>-210000</v>
      </c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194707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1952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1963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1954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1953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1945</v>
      </c>
      <c r="C34" s="1924"/>
      <c r="D34" s="1924"/>
      <c r="E34" s="1926" t="s">
        <v>1944</v>
      </c>
      <c r="F34" s="1924"/>
      <c r="G34" s="1924"/>
      <c r="H34" s="1924"/>
      <c r="I34" s="1924"/>
      <c r="J34" s="1924"/>
      <c r="K34" s="1927" t="s">
        <v>1946</v>
      </c>
      <c r="L34" s="1925"/>
      <c r="M34" s="44"/>
      <c r="N34" s="43"/>
      <c r="O34" s="43"/>
    </row>
    <row r="35" spans="1:15" ht="15.75">
      <c r="A35" s="43"/>
      <c r="B35" s="1928" t="s">
        <v>1947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1948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1949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tabSelected="1" zoomScaleNormal="100" workbookViewId="0">
      <pane xSplit="3" ySplit="10" topLeftCell="D59" activePane="bottomRight" state="frozen"/>
      <selection pane="topRight" activeCell="D1" sqref="D1"/>
      <selection pane="bottomLeft" activeCell="A11" sqref="A11"/>
      <selection pane="bottomRight" activeCell="M73" sqref="M73:N73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503" t="str">
        <f>+'TRIAL-BALANCE'!E2</f>
        <v>ОБЩИНА ГУЛЯНЦИ</v>
      </c>
      <c r="B1" s="2504"/>
      <c r="C1" s="2504"/>
      <c r="D1" s="2505"/>
      <c r="E1" s="148" t="s">
        <v>1955</v>
      </c>
      <c r="F1" s="149"/>
      <c r="G1" s="2501">
        <f>+'TRIAL-BALANCE'!C6</f>
        <v>413691</v>
      </c>
      <c r="H1" s="2502"/>
      <c r="I1" s="149"/>
      <c r="J1" s="150" t="s">
        <v>258</v>
      </c>
      <c r="K1" s="1742">
        <f>+'TRIAL-BALANCE'!C8</f>
        <v>6502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7" t="s">
        <v>1085</v>
      </c>
      <c r="B2" s="2488"/>
      <c r="C2" s="2488"/>
      <c r="D2" s="2489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06" t="str">
        <f>+'TRIAL-BALANCE'!G4</f>
        <v>ГР. ГУЛЯНЦИ УЛ.ВАСИЛ ЛЕВСКИ 32</v>
      </c>
      <c r="B3" s="2507"/>
      <c r="C3" s="2507"/>
      <c r="D3" s="2508"/>
      <c r="E3" s="1268" t="s">
        <v>2105</v>
      </c>
      <c r="F3" s="151"/>
      <c r="G3" s="2490">
        <f>+'TRIAL-BALANCE'!J8</f>
        <v>0</v>
      </c>
      <c r="H3" s="2492"/>
      <c r="I3" s="149"/>
      <c r="J3" s="2209" t="s">
        <v>2104</v>
      </c>
      <c r="K3" s="2490">
        <f>+'TRIAL-BALANCE'!G6</f>
        <v>0</v>
      </c>
      <c r="L3" s="2491"/>
      <c r="M3" s="2491"/>
      <c r="N3" s="249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31 март 2021 г.</v>
      </c>
      <c r="F5" s="210"/>
      <c r="G5" s="209"/>
      <c r="H5" s="1741" t="str">
        <f>+A1</f>
        <v>ОБЩИНА ГУЛЯНЦИ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1" t="s">
        <v>2181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7" t="s">
        <v>398</v>
      </c>
      <c r="N7" s="2498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9" t="s">
        <v>564</v>
      </c>
      <c r="B8" s="2482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2103</v>
      </c>
      <c r="K8" s="1418"/>
      <c r="L8" s="164"/>
      <c r="M8" s="2499"/>
      <c r="N8" s="2500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10"/>
      <c r="B9" s="2483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1985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1983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>
        <v>64375.35</v>
      </c>
      <c r="E17" s="485">
        <v>64375.35</v>
      </c>
      <c r="F17" s="214"/>
      <c r="G17" s="484"/>
      <c r="H17" s="485"/>
      <c r="I17" s="214"/>
      <c r="J17" s="484"/>
      <c r="K17" s="485"/>
      <c r="L17" s="214"/>
      <c r="M17" s="486">
        <f t="shared" si="0"/>
        <v>64375.35</v>
      </c>
      <c r="N17" s="487">
        <f t="shared" si="0"/>
        <v>64375.35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1986</v>
      </c>
      <c r="B22" s="178">
        <v>1070</v>
      </c>
      <c r="C22" s="154"/>
      <c r="D22" s="215">
        <f>+D16+D17+D18+D19+D20+D21</f>
        <v>64375.35</v>
      </c>
      <c r="E22" s="216">
        <f>+E16+E17+E18+E19+E20+E21</f>
        <v>64375.35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64375.35</v>
      </c>
      <c r="N22" s="216">
        <f>+N16+N17+N18+N19+N20+N21</f>
        <v>64375.35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1983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>
        <v>23243.47</v>
      </c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23243.47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23243.47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23243.47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87618.82</v>
      </c>
      <c r="E32" s="223">
        <f>+E14+E22+E30</f>
        <v>64375.35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87618.82</v>
      </c>
      <c r="N32" s="223">
        <f>+N14+N22+N30</f>
        <v>64375.35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4" t="s">
        <v>2181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3" t="s">
        <v>398</v>
      </c>
      <c r="N35" s="2494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5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2103</v>
      </c>
      <c r="K36" s="1418"/>
      <c r="L36" s="218"/>
      <c r="M36" s="2495"/>
      <c r="N36" s="2496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6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2084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2085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2032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-1073833.43</v>
      </c>
      <c r="H66" s="1880">
        <f>+ROUND(+'TRIAL-BALANCE'!AA274-'TRIAL-BALANCE'!Z274,2)-SUM(H58:H65)</f>
        <v>-1104627.28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-1073833.43</v>
      </c>
      <c r="N66" s="479">
        <f t="shared" si="5"/>
        <v>-1104627.28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-1073833.43</v>
      </c>
      <c r="H67" s="216">
        <f>+H58+H59+H60+H61+H62+H66</f>
        <v>-1104627.28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-1073833.43</v>
      </c>
      <c r="N67" s="216">
        <f>SUM(N58:N66)</f>
        <v>-1104627.28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-1073833.43</v>
      </c>
      <c r="H69" s="252">
        <f>+H43+H47+H51+H56+H67</f>
        <v>-1104627.28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-1073833.43</v>
      </c>
      <c r="N69" s="252">
        <f>+N43+N47+N51+N56+N67</f>
        <v>-1104627.28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1996</v>
      </c>
      <c r="B72" s="192"/>
      <c r="C72" s="154"/>
      <c r="D72" s="2095">
        <f>+'TRIAL-BALANCE'!K10</f>
        <v>44314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8" t="s">
        <v>2309</v>
      </c>
      <c r="I73" s="2479"/>
      <c r="J73" s="2480"/>
      <c r="K73" s="209"/>
      <c r="L73" s="164"/>
      <c r="M73" s="2476" t="s">
        <v>2310</v>
      </c>
      <c r="N73" s="2477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2033</v>
      </c>
      <c r="I74" s="458"/>
      <c r="J74" s="458"/>
      <c r="K74" s="458"/>
      <c r="L74" s="458"/>
      <c r="M74" s="2128" t="s">
        <v>2034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2031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2086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2087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65612171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44314</v>
      </c>
      <c r="L10" s="2519"/>
      <c r="M10" s="48"/>
      <c r="N10" s="1564">
        <f>+$C8</f>
        <v>6502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20" t="str">
        <f>+'TRIAL-BALANCE'!H12:K12</f>
        <v>31 март 2021 г.</v>
      </c>
      <c r="I12" s="2520"/>
      <c r="J12" s="2520"/>
      <c r="K12" s="2520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4" t="s">
        <v>1218</v>
      </c>
      <c r="P51" s="1206">
        <f>+ROUND(+SUM(O37:O38),2)</f>
        <v>0</v>
      </c>
      <c r="Q51" s="43"/>
      <c r="R51" s="2514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5"/>
      <c r="P52" s="38"/>
      <c r="Q52" s="43"/>
      <c r="R52" s="2515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5"/>
      <c r="P53" s="1432">
        <f>+ROUND(+SUM(O40:O41),2)</f>
        <v>0</v>
      </c>
      <c r="Q53" s="43"/>
      <c r="R53" s="2515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5"/>
      <c r="P54" s="38"/>
      <c r="Q54" s="43"/>
      <c r="R54" s="2515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5"/>
      <c r="P55" s="1206">
        <f>+ROUND(+SUM(O43:O44),2)</f>
        <v>0</v>
      </c>
      <c r="Q55" s="43"/>
      <c r="R55" s="2515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5"/>
      <c r="P56" s="38"/>
      <c r="Q56" s="43"/>
      <c r="R56" s="2515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6"/>
      <c r="P57" s="1432">
        <f>+ROUND(+SUM(O46:O47),2)</f>
        <v>0</v>
      </c>
      <c r="Q57" s="43"/>
      <c r="R57" s="2516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7">
        <f>+IF(+AND(Status!K4="ДА",+ROUND(P51,2)-ROUND(P53,2)&lt;&gt;0),"ГРЕШКА! - сумите за елиминиране от шифри 0075 и 0528 следва да са равни!",0)</f>
        <v>0</v>
      </c>
      <c r="P59" s="2517"/>
      <c r="Q59" s="43"/>
      <c r="R59" s="2517">
        <f>+IF(+AND(Status!K4="ДА",+ROUND(S51,2)-ROUND(S53,2)&lt;&gt;0),"ГРЕШКА! - сумите за елиминиране от шифри 0075 и 0528 следва да са равни!",0)</f>
        <v>0</v>
      </c>
      <c r="S59" s="2517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7">
        <f>+IF(AND(Status!K4="ДА",+ROUND(P55,2)-ROUND(P57,2)&lt;&gt;0),"ГРЕШКА! - сумите за елиминиране от шифри 0076 и 0529 следва да са равни!",0)</f>
        <v>0</v>
      </c>
      <c r="P61" s="2517"/>
      <c r="Q61" s="43"/>
      <c r="R61" s="2517">
        <f>+IF(AND(Status!K4="ДА",+ROUND(S55,2)-ROUND(S57,2)&lt;&gt;0),"ГРЕШКА! - сумите за елиминиране от шифри 0076 и 0529 следва да са равни!",0)</f>
        <v>0</v>
      </c>
      <c r="S61" s="2517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1942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23" t="s">
        <v>1960</v>
      </c>
      <c r="C126" s="2524"/>
      <c r="D126" s="2524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25" t="s">
        <v>1959</v>
      </c>
      <c r="E129" s="2526"/>
      <c r="F129" s="2526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1941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27">
        <f>+E8</f>
        <v>2021</v>
      </c>
      <c r="E152" s="2527"/>
      <c r="F152" s="2527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28" t="s">
        <v>1961</v>
      </c>
      <c r="I156" s="2529"/>
      <c r="J156" s="2529"/>
      <c r="K156" s="2530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21" t="s">
        <v>1958</v>
      </c>
      <c r="H158" s="2522"/>
      <c r="I158" s="2522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2176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2177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2178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2174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2175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204"/>
      <c r="O2" s="2235" t="s">
        <v>2143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54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54"/>
      <c r="B4" s="2454"/>
      <c r="C4" s="2454"/>
      <c r="D4" s="2471">
        <f>+'TRIAL-BALANCE'!D4:E4</f>
        <v>0</v>
      </c>
      <c r="E4" s="2472"/>
      <c r="F4" s="1919" t="s">
        <v>1951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6502</v>
      </c>
      <c r="D8" s="207" t="s">
        <v>1137</v>
      </c>
      <c r="E8" s="964">
        <f>+'TRIAL-BALANCE'!E8</f>
        <v>2021</v>
      </c>
      <c r="F8" s="1296" t="s">
        <v>1204</v>
      </c>
      <c r="G8" s="2468">
        <f>+'TRIAL-BALANCE'!G8:H8</f>
        <v>65612171</v>
      </c>
      <c r="H8" s="2469"/>
      <c r="I8" s="1297" t="s">
        <v>1206</v>
      </c>
      <c r="J8" s="2465">
        <f>+'TRIAL-BALANCE'!J8:L8</f>
        <v>0</v>
      </c>
      <c r="K8" s="2466"/>
      <c r="L8" s="2467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44314</v>
      </c>
      <c r="L10" s="2519"/>
      <c r="M10" s="48"/>
      <c r="N10" s="1578">
        <f>+$C8</f>
        <v>6502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31" t="str">
        <f>+'TRIAL-BALANCE'!H12:K12</f>
        <v>31 март 2021 г.</v>
      </c>
      <c r="I12" s="2531"/>
      <c r="J12" s="2531"/>
      <c r="K12" s="2531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1</v>
      </c>
      <c r="L20" s="1808" t="str">
        <f>+LEFT(H12,6)</f>
        <v>31 мар</v>
      </c>
      <c r="M20" s="51"/>
      <c r="N20" s="1809" t="str">
        <f>+IF($L$20="31 дек","IV",+IF($L$20="30 сеп","III",+IF($L$20="30 юни","II",+IF($L$20="31 мар","I",0))))</f>
        <v>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2049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2050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2051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2052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2059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2053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2060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2054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2057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2055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2058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2056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2061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2062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2047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1992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1966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1967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2131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32">
        <f>+E8-1</f>
        <v>2020</v>
      </c>
      <c r="C96" s="2533"/>
      <c r="D96" s="2231" t="s">
        <v>2099</v>
      </c>
      <c r="E96" s="2231"/>
      <c r="F96" s="2231"/>
      <c r="G96" s="2187">
        <f>+E8-1</f>
        <v>2020</v>
      </c>
      <c r="H96" s="2152" t="s">
        <v>2048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2142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2047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2020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2020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1992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2020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2020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2141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1966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2020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2020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1967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2020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6" t="s">
        <v>2138</v>
      </c>
      <c r="U123" s="2537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8">
        <f>+E8-1</f>
        <v>2020</v>
      </c>
      <c r="U124" s="2539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2145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2144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2140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2067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2071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2093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1959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2063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2064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2081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2065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2068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2079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2076</v>
      </c>
      <c r="C163" s="1927"/>
      <c r="D163" s="2535">
        <f>+E8-1</f>
        <v>2020</v>
      </c>
      <c r="E163" s="2535"/>
      <c r="F163" s="2535"/>
      <c r="G163" s="1927" t="s">
        <v>2077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2078</v>
      </c>
      <c r="C164" s="1927"/>
      <c r="D164" s="2166">
        <f>+E8-1</f>
        <v>2020</v>
      </c>
      <c r="E164" s="1927" t="s">
        <v>2080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2137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2132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2135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2136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2133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2139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2072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2073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2074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2075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2094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2095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1994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2066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2096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2070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2069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2097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2098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27">
        <f>+E8</f>
        <v>2021</v>
      </c>
      <c r="E195" s="2527"/>
      <c r="F195" s="2527"/>
      <c r="G195" s="1910" t="s">
        <v>1893</v>
      </c>
      <c r="H195" s="2534">
        <f>+E8</f>
        <v>2021</v>
      </c>
      <c r="I195" s="2534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1968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2100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  <mergeCell ref="K10:L10"/>
    <mergeCell ref="H12:K12"/>
    <mergeCell ref="B96:C96"/>
    <mergeCell ref="H195:I195"/>
    <mergeCell ref="D195:F195"/>
    <mergeCell ref="D163:F163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441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1" t="str">
        <f>+'TRIAL-BALANCE'!E2:L2</f>
        <v>ОБЩИНА ГУЛЯНЦИ</v>
      </c>
      <c r="F2" s="2512"/>
      <c r="G2" s="2512"/>
      <c r="H2" s="2512"/>
      <c r="I2" s="2512"/>
      <c r="J2" s="2512"/>
      <c r="K2" s="2512"/>
      <c r="L2" s="2513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70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70"/>
      <c r="C3" s="2470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70"/>
      <c r="B4" s="2470"/>
      <c r="C4" s="2470"/>
      <c r="D4" s="2471">
        <f>+'TRIAL-BALANCE'!D4:E4</f>
        <v>0</v>
      </c>
      <c r="E4" s="2472"/>
      <c r="F4" s="1919" t="s">
        <v>1951</v>
      </c>
      <c r="G4" s="2473" t="str">
        <f>+'TRIAL-BALANCE'!G4:L4</f>
        <v>ГР. ГУЛЯНЦИ УЛ.ВАСИЛ ЛЕВСКИ 32</v>
      </c>
      <c r="H4" s="2474"/>
      <c r="I4" s="2474"/>
      <c r="J4" s="2474"/>
      <c r="K4" s="2474"/>
      <c r="L4" s="2475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70"/>
      <c r="B5" s="2470"/>
      <c r="C5" s="2470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62">
        <f>+'TRIAL-BALANCE'!C6:E6</f>
        <v>413691</v>
      </c>
      <c r="D6" s="2463"/>
      <c r="E6" s="2464"/>
      <c r="F6" s="448" t="s">
        <v>431</v>
      </c>
      <c r="G6" s="2465">
        <f>+'TRIAL-BALANCE'!G6:L6</f>
        <v>0</v>
      </c>
      <c r="H6" s="2466"/>
      <c r="I6" s="2466"/>
      <c r="J6" s="2466"/>
      <c r="K6" s="2466"/>
      <c r="L6" s="2467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6502</v>
      </c>
      <c r="D8" s="199" t="s">
        <v>1137</v>
      </c>
      <c r="E8" s="964">
        <f>+'TRIAL-BALANCE'!E8</f>
        <v>2021</v>
      </c>
      <c r="F8" s="443" t="s">
        <v>1204</v>
      </c>
      <c r="G8" s="2468">
        <f>+'TRIAL-BALANCE'!G8:H8</f>
        <v>65612171</v>
      </c>
      <c r="H8" s="2469"/>
      <c r="I8" s="1269" t="s">
        <v>1206</v>
      </c>
      <c r="J8" s="2465">
        <f>+'TRIAL-BALANCE'!J8:L8</f>
        <v>0</v>
      </c>
      <c r="K8" s="2466"/>
      <c r="L8" s="2467"/>
      <c r="M8" s="48"/>
      <c r="N8" s="1565" t="s">
        <v>378</v>
      </c>
      <c r="O8" s="1376" t="s">
        <v>1119</v>
      </c>
      <c r="P8" s="1113">
        <f>+$I12</f>
        <v>2020</v>
      </c>
      <c r="Q8" s="48"/>
      <c r="R8" s="1114" t="s">
        <v>1461</v>
      </c>
      <c r="S8" s="1115">
        <f>+$I12</f>
        <v>2020</v>
      </c>
      <c r="T8" s="48"/>
      <c r="U8" s="1776" t="s">
        <v>1462</v>
      </c>
      <c r="V8" s="1644">
        <f>+$I12</f>
        <v>2020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8">
        <f>+'TRIAL-BALANCE'!K10:L10</f>
        <v>44314</v>
      </c>
      <c r="L10" s="2519"/>
      <c r="M10" s="48"/>
      <c r="N10" s="1577">
        <f>+$C8</f>
        <v>6502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2082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12969320.109999999</v>
      </c>
      <c r="Q14" s="51"/>
      <c r="R14" s="323">
        <v>0</v>
      </c>
      <c r="S14" s="372">
        <v>7499.05</v>
      </c>
      <c r="T14" s="51"/>
      <c r="U14" s="323">
        <v>0</v>
      </c>
      <c r="V14" s="372">
        <v>18726.54</v>
      </c>
      <c r="W14" s="51"/>
      <c r="X14" s="351">
        <f>+ROUND(+O14+R14+U14,2)</f>
        <v>0</v>
      </c>
      <c r="Y14" s="1609">
        <f>+ROUND(+P14+S14+V14,2)</f>
        <v>12995545.699999999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1088949.8</v>
      </c>
      <c r="Q15" s="51"/>
      <c r="R15" s="323">
        <v>0</v>
      </c>
      <c r="S15" s="372">
        <v>4051593.34</v>
      </c>
      <c r="T15" s="51"/>
      <c r="U15" s="323">
        <v>0</v>
      </c>
      <c r="V15" s="372">
        <v>53343885.130000003</v>
      </c>
      <c r="W15" s="51"/>
      <c r="X15" s="351">
        <f>+ROUND(+O15+R15+U15,2)</f>
        <v>0</v>
      </c>
      <c r="Y15" s="1609">
        <f>+ROUND(+P15+S15+V15,2)</f>
        <v>58484428.270000003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500154.04</v>
      </c>
      <c r="P17" s="372">
        <v>0</v>
      </c>
      <c r="Q17" s="51"/>
      <c r="R17" s="323">
        <v>2658.86</v>
      </c>
      <c r="S17" s="372">
        <v>0</v>
      </c>
      <c r="T17" s="51"/>
      <c r="U17" s="323"/>
      <c r="V17" s="372"/>
      <c r="W17" s="51"/>
      <c r="X17" s="351">
        <f t="shared" ref="X17:X47" si="1">+ROUND(+O17+R17+U17,2)</f>
        <v>502812.9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27662.48</v>
      </c>
      <c r="P18" s="372">
        <v>0</v>
      </c>
      <c r="Q18" s="51"/>
      <c r="R18" s="120">
        <v>20010.810000000001</v>
      </c>
      <c r="S18" s="888">
        <v>0</v>
      </c>
      <c r="T18" s="51"/>
      <c r="U18" s="120"/>
      <c r="V18" s="888"/>
      <c r="W18" s="51"/>
      <c r="X18" s="351">
        <f t="shared" si="1"/>
        <v>47673.29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320734.28999999998</v>
      </c>
      <c r="P19" s="372">
        <v>0</v>
      </c>
      <c r="Q19" s="51"/>
      <c r="R19" s="120">
        <v>31642.15</v>
      </c>
      <c r="S19" s="888">
        <v>0</v>
      </c>
      <c r="T19" s="51"/>
      <c r="U19" s="120"/>
      <c r="V19" s="888"/>
      <c r="W19" s="51"/>
      <c r="X19" s="351">
        <f t="shared" si="1"/>
        <v>352376.44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838.18</v>
      </c>
      <c r="P20" s="372">
        <v>0</v>
      </c>
      <c r="Q20" s="51"/>
      <c r="R20" s="120"/>
      <c r="S20" s="888"/>
      <c r="T20" s="51"/>
      <c r="U20" s="120"/>
      <c r="V20" s="888"/>
      <c r="W20" s="51"/>
      <c r="X20" s="351">
        <f t="shared" si="1"/>
        <v>838.18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53394.69</v>
      </c>
      <c r="P21" s="372">
        <v>0</v>
      </c>
      <c r="Q21" s="51"/>
      <c r="R21" s="120">
        <v>376</v>
      </c>
      <c r="S21" s="888">
        <v>0</v>
      </c>
      <c r="T21" s="51"/>
      <c r="U21" s="120"/>
      <c r="V21" s="888"/>
      <c r="W21" s="51"/>
      <c r="X21" s="351">
        <f t="shared" si="1"/>
        <v>53770.69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30461.19</v>
      </c>
      <c r="P22" s="372">
        <v>0</v>
      </c>
      <c r="Q22" s="51"/>
      <c r="R22" s="120"/>
      <c r="S22" s="888"/>
      <c r="T22" s="51"/>
      <c r="U22" s="120"/>
      <c r="V22" s="888"/>
      <c r="W22" s="51"/>
      <c r="X22" s="351">
        <f t="shared" si="1"/>
        <v>30461.19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7710.19</v>
      </c>
      <c r="P23" s="372">
        <v>0</v>
      </c>
      <c r="Q23" s="51"/>
      <c r="R23" s="120"/>
      <c r="S23" s="888"/>
      <c r="T23" s="51"/>
      <c r="U23" s="120"/>
      <c r="V23" s="888"/>
      <c r="W23" s="51"/>
      <c r="X23" s="351">
        <f t="shared" si="1"/>
        <v>7710.19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5015.75</v>
      </c>
      <c r="P24" s="372">
        <v>0</v>
      </c>
      <c r="Q24" s="51"/>
      <c r="R24" s="120">
        <v>931.12</v>
      </c>
      <c r="S24" s="888">
        <v>0</v>
      </c>
      <c r="T24" s="51"/>
      <c r="U24" s="120"/>
      <c r="V24" s="888"/>
      <c r="W24" s="51"/>
      <c r="X24" s="351">
        <f t="shared" si="1"/>
        <v>5946.87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26111.24</v>
      </c>
      <c r="P25" s="372">
        <v>0</v>
      </c>
      <c r="Q25" s="51"/>
      <c r="R25" s="120"/>
      <c r="S25" s="888"/>
      <c r="T25" s="51"/>
      <c r="U25" s="120"/>
      <c r="V25" s="888"/>
      <c r="W25" s="51"/>
      <c r="X25" s="351">
        <f t="shared" si="1"/>
        <v>26111.24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369178.98</v>
      </c>
      <c r="P26" s="372">
        <v>0</v>
      </c>
      <c r="Q26" s="51"/>
      <c r="R26" s="120">
        <v>43624</v>
      </c>
      <c r="S26" s="888">
        <v>0</v>
      </c>
      <c r="T26" s="51"/>
      <c r="U26" s="120"/>
      <c r="V26" s="888"/>
      <c r="W26" s="51"/>
      <c r="X26" s="351">
        <f t="shared" si="1"/>
        <v>412802.98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345129.96</v>
      </c>
      <c r="P27" s="372">
        <v>0</v>
      </c>
      <c r="Q27" s="51"/>
      <c r="R27" s="120"/>
      <c r="S27" s="888"/>
      <c r="T27" s="51"/>
      <c r="U27" s="120"/>
      <c r="V27" s="888"/>
      <c r="W27" s="51"/>
      <c r="X27" s="351">
        <f t="shared" si="1"/>
        <v>345129.96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11992.51</v>
      </c>
      <c r="P28" s="372">
        <v>0</v>
      </c>
      <c r="Q28" s="51"/>
      <c r="R28" s="120"/>
      <c r="S28" s="888"/>
      <c r="T28" s="51"/>
      <c r="U28" s="120"/>
      <c r="V28" s="888"/>
      <c r="W28" s="51"/>
      <c r="X28" s="351">
        <f t="shared" si="1"/>
        <v>11992.51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57925.51</v>
      </c>
      <c r="P29" s="372">
        <v>0</v>
      </c>
      <c r="Q29" s="51"/>
      <c r="R29" s="120"/>
      <c r="S29" s="888"/>
      <c r="T29" s="51"/>
      <c r="U29" s="120"/>
      <c r="V29" s="888"/>
      <c r="W29" s="51"/>
      <c r="X29" s="351">
        <f t="shared" si="1"/>
        <v>57925.51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25238.6</v>
      </c>
      <c r="P30" s="372">
        <v>0</v>
      </c>
      <c r="Q30" s="51"/>
      <c r="R30" s="120"/>
      <c r="S30" s="888"/>
      <c r="T30" s="51"/>
      <c r="U30" s="120"/>
      <c r="V30" s="888"/>
      <c r="W30" s="51"/>
      <c r="X30" s="351">
        <f t="shared" si="1"/>
        <v>25238.6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14861.06</v>
      </c>
      <c r="P31" s="372">
        <v>0</v>
      </c>
      <c r="Q31" s="51"/>
      <c r="R31" s="120"/>
      <c r="S31" s="888"/>
      <c r="T31" s="51"/>
      <c r="U31" s="120"/>
      <c r="V31" s="888"/>
      <c r="W31" s="51"/>
      <c r="X31" s="351">
        <f t="shared" si="1"/>
        <v>14861.06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16608</v>
      </c>
      <c r="P33" s="372">
        <v>0</v>
      </c>
      <c r="Q33" s="51"/>
      <c r="R33" s="120">
        <v>20425.11</v>
      </c>
      <c r="S33" s="888">
        <v>0</v>
      </c>
      <c r="T33" s="51"/>
      <c r="U33" s="120"/>
      <c r="V33" s="888"/>
      <c r="W33" s="51"/>
      <c r="X33" s="351">
        <f t="shared" si="1"/>
        <v>37033.11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406845.72</v>
      </c>
      <c r="P34" s="372">
        <v>0</v>
      </c>
      <c r="Q34" s="51"/>
      <c r="R34" s="120">
        <v>98210.6</v>
      </c>
      <c r="S34" s="888">
        <v>0</v>
      </c>
      <c r="T34" s="51"/>
      <c r="U34" s="120"/>
      <c r="V34" s="888"/>
      <c r="W34" s="51"/>
      <c r="X34" s="351">
        <f t="shared" si="1"/>
        <v>505056.32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20166.009999999998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20166.009999999998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49491.18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49491.18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525577.59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525577.59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98395.839999999997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98395.839999999997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10713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10713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1683733.67</v>
      </c>
      <c r="V41" s="888">
        <v>0</v>
      </c>
      <c r="W41" s="51"/>
      <c r="X41" s="2182">
        <f t="shared" si="1"/>
        <v>1683733.67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189.56</v>
      </c>
      <c r="P42" s="372">
        <v>0</v>
      </c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189.56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159346.45000000001</v>
      </c>
      <c r="P43" s="372">
        <v>0</v>
      </c>
      <c r="Q43" s="51"/>
      <c r="R43" s="120">
        <v>33164.129999999997</v>
      </c>
      <c r="S43" s="888">
        <v>0</v>
      </c>
      <c r="T43" s="51"/>
      <c r="U43" s="120"/>
      <c r="V43" s="888"/>
      <c r="W43" s="51"/>
      <c r="X43" s="351">
        <f t="shared" si="1"/>
        <v>192510.58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4427494.5</v>
      </c>
      <c r="P44" s="372">
        <v>0</v>
      </c>
      <c r="Q44" s="51"/>
      <c r="R44" s="120">
        <v>169659.65</v>
      </c>
      <c r="S44" s="888">
        <v>0</v>
      </c>
      <c r="T44" s="51"/>
      <c r="U44" s="120"/>
      <c r="V44" s="888"/>
      <c r="W44" s="51"/>
      <c r="X44" s="351">
        <f t="shared" si="1"/>
        <v>4597154.1500000004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1318942.56</v>
      </c>
      <c r="P45" s="372">
        <v>0</v>
      </c>
      <c r="Q45" s="51"/>
      <c r="R45" s="120">
        <v>464422.39</v>
      </c>
      <c r="S45" s="888">
        <v>0</v>
      </c>
      <c r="T45" s="51"/>
      <c r="U45" s="120"/>
      <c r="V45" s="888"/>
      <c r="W45" s="51"/>
      <c r="X45" s="351">
        <f t="shared" si="1"/>
        <v>1783364.95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223183.76</v>
      </c>
      <c r="P46" s="372">
        <v>0</v>
      </c>
      <c r="Q46" s="51"/>
      <c r="R46" s="120">
        <v>1461.81</v>
      </c>
      <c r="S46" s="888">
        <v>0</v>
      </c>
      <c r="T46" s="51"/>
      <c r="U46" s="120"/>
      <c r="V46" s="888"/>
      <c r="W46" s="51"/>
      <c r="X46" s="351">
        <f t="shared" si="1"/>
        <v>224645.57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262761.02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262761.02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194087.94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194087.94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31223.27</v>
      </c>
      <c r="P50" s="888">
        <v>0</v>
      </c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31223.27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815692.91</v>
      </c>
      <c r="P51" s="888">
        <v>0</v>
      </c>
      <c r="Q51" s="51"/>
      <c r="R51" s="120">
        <v>86773.1</v>
      </c>
      <c r="S51" s="888">
        <v>0</v>
      </c>
      <c r="T51" s="51"/>
      <c r="U51" s="120"/>
      <c r="V51" s="888"/>
      <c r="W51" s="51"/>
      <c r="X51" s="351">
        <f t="shared" si="5"/>
        <v>902466.01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292893.39</v>
      </c>
      <c r="P52" s="888">
        <v>0</v>
      </c>
      <c r="Q52" s="51"/>
      <c r="R52" s="120">
        <v>33032.07</v>
      </c>
      <c r="S52" s="888">
        <v>0</v>
      </c>
      <c r="T52" s="51"/>
      <c r="U52" s="120"/>
      <c r="V52" s="888"/>
      <c r="W52" s="51"/>
      <c r="X52" s="351">
        <f t="shared" si="5"/>
        <v>325925.46000000002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131501.95000000001</v>
      </c>
      <c r="P54" s="888">
        <v>0</v>
      </c>
      <c r="Q54" s="51"/>
      <c r="R54" s="120">
        <v>15023.14</v>
      </c>
      <c r="S54" s="888">
        <v>0</v>
      </c>
      <c r="T54" s="51"/>
      <c r="U54" s="120"/>
      <c r="V54" s="888"/>
      <c r="W54" s="51"/>
      <c r="X54" s="351">
        <f t="shared" si="5"/>
        <v>146525.09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22386.76</v>
      </c>
      <c r="P58" s="888">
        <v>0</v>
      </c>
      <c r="Q58" s="51"/>
      <c r="R58" s="120"/>
      <c r="S58" s="888"/>
      <c r="T58" s="51"/>
      <c r="U58" s="120"/>
      <c r="V58" s="888"/>
      <c r="W58" s="51"/>
      <c r="X58" s="351">
        <f t="shared" si="5"/>
        <v>22386.76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1792.11</v>
      </c>
      <c r="P59" s="888">
        <v>0</v>
      </c>
      <c r="Q59" s="51"/>
      <c r="R59" s="120"/>
      <c r="S59" s="888"/>
      <c r="T59" s="51"/>
      <c r="U59" s="120"/>
      <c r="V59" s="888"/>
      <c r="W59" s="51"/>
      <c r="X59" s="351">
        <f t="shared" si="5"/>
        <v>1792.11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9039.8799999999992</v>
      </c>
      <c r="P62" s="888">
        <v>0</v>
      </c>
      <c r="Q62" s="51"/>
      <c r="R62" s="120"/>
      <c r="S62" s="888"/>
      <c r="T62" s="51"/>
      <c r="U62" s="120"/>
      <c r="V62" s="888"/>
      <c r="W62" s="51"/>
      <c r="X62" s="351">
        <f t="shared" si="5"/>
        <v>9039.8799999999992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5000</v>
      </c>
      <c r="P70" s="888">
        <v>0</v>
      </c>
      <c r="Q70" s="51"/>
      <c r="R70" s="120">
        <v>15000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20000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>
        <v>6537085.2800000003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6537085.2800000003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4080.8</v>
      </c>
      <c r="P80" s="888">
        <v>0</v>
      </c>
      <c r="Q80" s="51"/>
      <c r="R80" s="120"/>
      <c r="S80" s="888"/>
      <c r="T80" s="51"/>
      <c r="U80" s="120"/>
      <c r="V80" s="888"/>
      <c r="W80" s="51"/>
      <c r="X80" s="351">
        <f t="shared" si="5"/>
        <v>4080.8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176775.16</v>
      </c>
      <c r="P81" s="888">
        <v>0</v>
      </c>
      <c r="Q81" s="51"/>
      <c r="R81" s="120"/>
      <c r="S81" s="888"/>
      <c r="T81" s="51"/>
      <c r="U81" s="120"/>
      <c r="V81" s="888"/>
      <c r="W81" s="51"/>
      <c r="X81" s="351">
        <f t="shared" si="5"/>
        <v>176775.16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13886.84</v>
      </c>
      <c r="P83" s="888">
        <v>0</v>
      </c>
      <c r="Q83" s="51"/>
      <c r="R83" s="120">
        <v>3488</v>
      </c>
      <c r="S83" s="888">
        <v>0</v>
      </c>
      <c r="T83" s="51"/>
      <c r="U83" s="120"/>
      <c r="V83" s="888"/>
      <c r="W83" s="51"/>
      <c r="X83" s="351">
        <f t="shared" si="8"/>
        <v>17374.84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>
        <v>0</v>
      </c>
      <c r="S84" s="888">
        <v>25.4</v>
      </c>
      <c r="T84" s="51"/>
      <c r="U84" s="120"/>
      <c r="V84" s="888"/>
      <c r="W84" s="51"/>
      <c r="X84" s="351">
        <f t="shared" si="8"/>
        <v>0</v>
      </c>
      <c r="Y84" s="1609">
        <f t="shared" si="6"/>
        <v>25.4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3229.53</v>
      </c>
      <c r="P85" s="888">
        <v>0</v>
      </c>
      <c r="Q85" s="51"/>
      <c r="R85" s="120"/>
      <c r="S85" s="888"/>
      <c r="T85" s="51"/>
      <c r="U85" s="120"/>
      <c r="V85" s="888"/>
      <c r="W85" s="51"/>
      <c r="X85" s="351">
        <f t="shared" si="8"/>
        <v>3229.53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13324.08</v>
      </c>
      <c r="P87" s="888">
        <v>0</v>
      </c>
      <c r="Q87" s="51"/>
      <c r="R87" s="120"/>
      <c r="S87" s="888"/>
      <c r="T87" s="51"/>
      <c r="U87" s="120"/>
      <c r="V87" s="888"/>
      <c r="W87" s="51"/>
      <c r="X87" s="351">
        <f t="shared" si="8"/>
        <v>13324.08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12" t="s">
        <v>2150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2151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8101.96</v>
      </c>
      <c r="P90" s="888">
        <v>0</v>
      </c>
      <c r="Q90" s="51"/>
      <c r="R90" s="120"/>
      <c r="S90" s="888"/>
      <c r="T90" s="51"/>
      <c r="U90" s="120"/>
      <c r="V90" s="888"/>
      <c r="W90" s="51"/>
      <c r="X90" s="351">
        <f t="shared" si="8"/>
        <v>8101.96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5742.09</v>
      </c>
      <c r="P91" s="888">
        <v>0</v>
      </c>
      <c r="Q91" s="51"/>
      <c r="R91" s="120"/>
      <c r="S91" s="888"/>
      <c r="T91" s="51"/>
      <c r="U91" s="120"/>
      <c r="V91" s="888"/>
      <c r="W91" s="51"/>
      <c r="X91" s="351">
        <f t="shared" si="8"/>
        <v>5742.09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2154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155914.79999999999</v>
      </c>
      <c r="P94" s="888">
        <v>0</v>
      </c>
      <c r="Q94" s="51"/>
      <c r="R94" s="120"/>
      <c r="S94" s="888"/>
      <c r="T94" s="51"/>
      <c r="U94" s="120"/>
      <c r="V94" s="888"/>
      <c r="W94" s="51"/>
      <c r="X94" s="351">
        <f t="shared" si="8"/>
        <v>155914.79999999999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6" t="s">
        <v>2157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2158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2159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2160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2162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2163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2164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2165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2166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2167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2168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2169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2170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2171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76603.56</v>
      </c>
      <c r="P113" s="888">
        <v>0</v>
      </c>
      <c r="Q113" s="51"/>
      <c r="R113" s="120"/>
      <c r="S113" s="888"/>
      <c r="T113" s="51"/>
      <c r="U113" s="120"/>
      <c r="V113" s="888"/>
      <c r="W113" s="51"/>
      <c r="X113" s="351">
        <f t="shared" si="8"/>
        <v>76603.56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23605.5</v>
      </c>
      <c r="P144" s="888">
        <v>0</v>
      </c>
      <c r="Q144" s="51"/>
      <c r="R144" s="120">
        <v>3835</v>
      </c>
      <c r="S144" s="888">
        <v>0</v>
      </c>
      <c r="T144" s="51"/>
      <c r="U144" s="120"/>
      <c r="V144" s="888"/>
      <c r="W144" s="51"/>
      <c r="X144" s="1613">
        <f t="shared" si="11"/>
        <v>27440.5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28113.59</v>
      </c>
      <c r="P146" s="888">
        <v>0</v>
      </c>
      <c r="Q146" s="51"/>
      <c r="R146" s="120">
        <v>4332.05</v>
      </c>
      <c r="S146" s="888">
        <v>0</v>
      </c>
      <c r="T146" s="51"/>
      <c r="U146" s="120"/>
      <c r="V146" s="888"/>
      <c r="W146" s="51"/>
      <c r="X146" s="1613">
        <f t="shared" ref="X146:X177" si="14">+ROUND(+O146+R146+U146,2)</f>
        <v>32445.64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26259</v>
      </c>
      <c r="P158" s="888">
        <v>0</v>
      </c>
      <c r="Q158" s="51"/>
      <c r="R158" s="120">
        <v>209991.14</v>
      </c>
      <c r="S158" s="888">
        <v>0</v>
      </c>
      <c r="T158" s="51"/>
      <c r="U158" s="120"/>
      <c r="V158" s="888"/>
      <c r="W158" s="51"/>
      <c r="X158" s="1613">
        <f t="shared" si="14"/>
        <v>236250.14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4132.26</v>
      </c>
      <c r="P160" s="888">
        <v>0</v>
      </c>
      <c r="Q160" s="51"/>
      <c r="R160" s="120"/>
      <c r="S160" s="888"/>
      <c r="T160" s="51"/>
      <c r="U160" s="120"/>
      <c r="V160" s="888"/>
      <c r="W160" s="51"/>
      <c r="X160" s="1613">
        <f t="shared" si="14"/>
        <v>4132.26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62728</v>
      </c>
      <c r="P162" s="888">
        <v>0</v>
      </c>
      <c r="Q162" s="51"/>
      <c r="R162" s="120"/>
      <c r="S162" s="888"/>
      <c r="T162" s="51"/>
      <c r="U162" s="120"/>
      <c r="V162" s="888"/>
      <c r="W162" s="51"/>
      <c r="X162" s="1613">
        <f t="shared" si="14"/>
        <v>62728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1294</v>
      </c>
      <c r="P164" s="888">
        <v>0</v>
      </c>
      <c r="Q164" s="51"/>
      <c r="R164" s="120"/>
      <c r="S164" s="888"/>
      <c r="T164" s="51"/>
      <c r="U164" s="120"/>
      <c r="V164" s="888"/>
      <c r="W164" s="51"/>
      <c r="X164" s="1613">
        <f t="shared" si="14"/>
        <v>1294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233087</v>
      </c>
      <c r="P167" s="888">
        <v>0</v>
      </c>
      <c r="Q167" s="51"/>
      <c r="R167" s="120"/>
      <c r="S167" s="888"/>
      <c r="T167" s="51"/>
      <c r="U167" s="120"/>
      <c r="V167" s="888"/>
      <c r="W167" s="51"/>
      <c r="X167" s="1613">
        <f t="shared" si="14"/>
        <v>233087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208967.15</v>
      </c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208967.15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8739.9699999999993</v>
      </c>
      <c r="P227" s="888">
        <v>0</v>
      </c>
      <c r="Q227" s="51"/>
      <c r="R227" s="581"/>
      <c r="S227" s="891"/>
      <c r="T227" s="51"/>
      <c r="U227" s="120"/>
      <c r="V227" s="888"/>
      <c r="W227" s="51"/>
      <c r="X227" s="1613">
        <f t="shared" si="19"/>
        <v>8739.9699999999993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739.84</v>
      </c>
      <c r="P228" s="888">
        <v>0</v>
      </c>
      <c r="Q228" s="51"/>
      <c r="R228" s="581"/>
      <c r="S228" s="891"/>
      <c r="T228" s="51"/>
      <c r="U228" s="120"/>
      <c r="V228" s="888"/>
      <c r="W228" s="51"/>
      <c r="X228" s="1613">
        <f t="shared" si="19"/>
        <v>739.84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636624.43999999994</v>
      </c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636624.43999999994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1937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272296.89</v>
      </c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272296.89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1938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1939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1940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351671.83</v>
      </c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351671.83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210984.31</v>
      </c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210984.31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786.73</v>
      </c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786.73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14667.96</v>
      </c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14667.96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7534.66</v>
      </c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7534.66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52523.92</v>
      </c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52523.92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661036.86</v>
      </c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661036.86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311155</v>
      </c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311155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41133.71</v>
      </c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41133.71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265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105529.04</v>
      </c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105529.04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14380.86</v>
      </c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14380.86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211.99</v>
      </c>
      <c r="P287" s="888">
        <v>0</v>
      </c>
      <c r="Q287" s="51"/>
      <c r="R287" s="581"/>
      <c r="S287" s="891"/>
      <c r="T287" s="51"/>
      <c r="U287" s="120"/>
      <c r="V287" s="888"/>
      <c r="W287" s="51"/>
      <c r="X287" s="1613">
        <f t="shared" si="24"/>
        <v>211.99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177704.95</v>
      </c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177704.95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9" t="s">
        <v>647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265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181.52</v>
      </c>
      <c r="Q312" s="51"/>
      <c r="R312" s="120">
        <v>0</v>
      </c>
      <c r="S312" s="888">
        <v>21.94</v>
      </c>
      <c r="T312" s="51"/>
      <c r="U312" s="120"/>
      <c r="V312" s="888"/>
      <c r="W312" s="51"/>
      <c r="X312" s="1613">
        <f t="shared" si="27"/>
        <v>0</v>
      </c>
      <c r="Y312" s="1614">
        <f t="shared" si="29"/>
        <v>203.46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35539.07</v>
      </c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35539.07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175.2</v>
      </c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175.2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8485</v>
      </c>
      <c r="P339" s="888">
        <v>0</v>
      </c>
      <c r="Q339" s="51"/>
      <c r="R339" s="120"/>
      <c r="S339" s="888"/>
      <c r="T339" s="51"/>
      <c r="U339" s="120"/>
      <c r="V339" s="888"/>
      <c r="W339" s="51"/>
      <c r="X339" s="1613">
        <f t="shared" si="27"/>
        <v>8485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14147.5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14147.5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16233.76</v>
      </c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16233.76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0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8212169</v>
      </c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8212169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1599758.42</v>
      </c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1599758.42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73634.039999999994</v>
      </c>
      <c r="Q378" s="51"/>
      <c r="R378" s="120">
        <v>0</v>
      </c>
      <c r="S378" s="888">
        <v>75824.84</v>
      </c>
      <c r="T378" s="51"/>
      <c r="U378" s="120"/>
      <c r="V378" s="888"/>
      <c r="W378" s="51"/>
      <c r="X378" s="1613">
        <f t="shared" si="31"/>
        <v>0</v>
      </c>
      <c r="Y378" s="1614">
        <f t="shared" si="32"/>
        <v>149458.88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0.24</v>
      </c>
      <c r="P380" s="888">
        <v>0</v>
      </c>
      <c r="Q380" s="51"/>
      <c r="R380" s="120">
        <v>0</v>
      </c>
      <c r="S380" s="888">
        <v>1886127.91</v>
      </c>
      <c r="T380" s="51"/>
      <c r="U380" s="120"/>
      <c r="V380" s="888"/>
      <c r="W380" s="51"/>
      <c r="X380" s="1613">
        <f t="shared" si="31"/>
        <v>0.24</v>
      </c>
      <c r="Y380" s="1614">
        <f t="shared" si="32"/>
        <v>1886127.91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75824.84</v>
      </c>
      <c r="P381" s="888">
        <v>0</v>
      </c>
      <c r="Q381" s="51"/>
      <c r="R381" s="120"/>
      <c r="S381" s="888"/>
      <c r="T381" s="51"/>
      <c r="U381" s="120"/>
      <c r="V381" s="888"/>
      <c r="W381" s="51"/>
      <c r="X381" s="1613">
        <f t="shared" si="31"/>
        <v>75824.84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2182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06" t="s">
        <v>2183</v>
      </c>
      <c r="C393" s="2407"/>
      <c r="D393" s="2407"/>
      <c r="E393" s="2407"/>
      <c r="F393" s="2407"/>
      <c r="G393" s="2407"/>
      <c r="H393" s="2407"/>
      <c r="I393" s="2407"/>
      <c r="J393" s="2407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55470.03</v>
      </c>
      <c r="Q393" s="51"/>
      <c r="R393" s="120">
        <v>55470.03</v>
      </c>
      <c r="S393" s="888">
        <v>0</v>
      </c>
      <c r="T393" s="51"/>
      <c r="U393" s="120"/>
      <c r="V393" s="888"/>
      <c r="W393" s="51"/>
      <c r="X393" s="1613">
        <f t="shared" si="31"/>
        <v>55470.03</v>
      </c>
      <c r="Y393" s="1614">
        <f t="shared" si="32"/>
        <v>55470.03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2184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155914.79999999999</v>
      </c>
      <c r="Q394" s="51"/>
      <c r="R394" s="120"/>
      <c r="S394" s="888"/>
      <c r="T394" s="51"/>
      <c r="U394" s="120">
        <v>155914.79999999999</v>
      </c>
      <c r="V394" s="888">
        <v>0</v>
      </c>
      <c r="W394" s="51"/>
      <c r="X394" s="1613">
        <f t="shared" si="31"/>
        <v>155914.79999999999</v>
      </c>
      <c r="Y394" s="1614">
        <f t="shared" si="32"/>
        <v>155914.79999999999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06" t="s">
        <v>2185</v>
      </c>
      <c r="C395" s="2408"/>
      <c r="D395" s="2408"/>
      <c r="E395" s="2408"/>
      <c r="F395" s="2408"/>
      <c r="G395" s="2408"/>
      <c r="H395" s="2408"/>
      <c r="I395" s="2408"/>
      <c r="J395" s="2408"/>
      <c r="K395" s="2408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6557085.2800000003</v>
      </c>
      <c r="W396" s="51"/>
      <c r="X396" s="1613">
        <f t="shared" si="31"/>
        <v>0</v>
      </c>
      <c r="Y396" s="1614">
        <f t="shared" si="32"/>
        <v>6557085.2800000003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15182.4</v>
      </c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15182.4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>
        <v>0</v>
      </c>
      <c r="S403" s="891">
        <v>7591.2</v>
      </c>
      <c r="T403" s="51"/>
      <c r="U403" s="120"/>
      <c r="V403" s="888"/>
      <c r="W403" s="51"/>
      <c r="X403" s="1613">
        <f t="shared" si="31"/>
        <v>0</v>
      </c>
      <c r="Y403" s="1614">
        <f t="shared" si="32"/>
        <v>7591.2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14380.86</v>
      </c>
      <c r="P421" s="888">
        <v>0</v>
      </c>
      <c r="Q421" s="51"/>
      <c r="R421" s="581"/>
      <c r="S421" s="891"/>
      <c r="T421" s="51"/>
      <c r="U421" s="120"/>
      <c r="V421" s="888"/>
      <c r="W421" s="51"/>
      <c r="X421" s="1613">
        <f t="shared" si="31"/>
        <v>14380.86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2110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21610.94</v>
      </c>
      <c r="P432" s="888">
        <v>0</v>
      </c>
      <c r="Q432" s="51"/>
      <c r="R432" s="581"/>
      <c r="S432" s="891"/>
      <c r="T432" s="51"/>
      <c r="U432" s="120"/>
      <c r="V432" s="888"/>
      <c r="W432" s="51"/>
      <c r="X432" s="1613">
        <f t="shared" si="35"/>
        <v>21610.94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829.29</v>
      </c>
      <c r="Q455" s="51"/>
      <c r="R455" s="581"/>
      <c r="S455" s="891"/>
      <c r="T455" s="51"/>
      <c r="U455" s="120">
        <v>0</v>
      </c>
      <c r="V455" s="888">
        <v>100622.9</v>
      </c>
      <c r="W455" s="51"/>
      <c r="X455" s="1613">
        <f t="shared" si="35"/>
        <v>0</v>
      </c>
      <c r="Y455" s="1614">
        <f t="shared" si="36"/>
        <v>101452.19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5208</v>
      </c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5208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126284.44</v>
      </c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126284.44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>
        <v>0</v>
      </c>
      <c r="V461" s="906">
        <v>44232.19</v>
      </c>
      <c r="W461" s="51"/>
      <c r="X461" s="1615">
        <f t="shared" si="35"/>
        <v>0</v>
      </c>
      <c r="Y461" s="1616">
        <f t="shared" si="36"/>
        <v>44232.19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11592525.98</v>
      </c>
      <c r="P462" s="956">
        <f>+ROUND(+SUM(P17:P461),2)</f>
        <v>13571813.720000001</v>
      </c>
      <c r="Q462" s="51"/>
      <c r="R462" s="957">
        <f>+ROUND(+SUM(R17:R461),2)</f>
        <v>7850616.4400000004</v>
      </c>
      <c r="S462" s="958">
        <f>+ROUND(+SUM(S17:S461),2)</f>
        <v>1969591.29</v>
      </c>
      <c r="T462" s="51"/>
      <c r="U462" s="1802">
        <f>+ROUND(+SUM(U17:U461),2)</f>
        <v>1839648.47</v>
      </c>
      <c r="V462" s="1803">
        <f>+ROUND(+SUM(V17:V461),2)</f>
        <v>6701940.3700000001</v>
      </c>
      <c r="W462" s="51"/>
      <c r="X462" s="1617">
        <f>+ROUND(+SUM(X17:X461),2)</f>
        <v>21282790.890000001</v>
      </c>
      <c r="Y462" s="1618">
        <f>+ROUND(+SUM(Y17:Y461),2)</f>
        <v>22243345.379999999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40">
        <f>+I12</f>
        <v>2020</v>
      </c>
      <c r="L464" s="2541"/>
      <c r="M464" s="44"/>
      <c r="N464" s="119"/>
      <c r="O464" s="38"/>
      <c r="P464" s="928">
        <f>+ROUND(+P462-O462,2)</f>
        <v>1979287.74</v>
      </c>
      <c r="Q464" s="916"/>
      <c r="R464" s="919"/>
      <c r="S464" s="927">
        <f>+ROUND(+S462-R462,2)</f>
        <v>-5881025.1500000004</v>
      </c>
      <c r="T464" s="916"/>
      <c r="U464" s="38"/>
      <c r="V464" s="1646">
        <f>+ROUND(+V462-U462,2)</f>
        <v>4862291.9000000004</v>
      </c>
      <c r="W464" s="916"/>
      <c r="X464" s="38"/>
      <c r="Y464" s="1804">
        <f>+ROUND(+Y462-X462,2)</f>
        <v>960554.49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E5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ОБЩИНА ГУЛЯНЦИ</v>
      </c>
      <c r="B1" s="2547"/>
      <c r="C1" s="2547"/>
      <c r="D1" s="2548"/>
      <c r="E1" s="224" t="s">
        <v>791</v>
      </c>
      <c r="F1" s="225"/>
      <c r="G1" s="2544">
        <f>+'TRIAL-BALANCE'!C6</f>
        <v>413691</v>
      </c>
      <c r="H1" s="2545"/>
      <c r="I1" s="225"/>
      <c r="J1" s="226" t="s">
        <v>611</v>
      </c>
      <c r="K1" s="978">
        <f>+'TRIAL-BALANCE'!C8</f>
        <v>6502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8" t="s">
        <v>1085</v>
      </c>
      <c r="B2" s="2569"/>
      <c r="C2" s="2569"/>
      <c r="D2" s="2570"/>
      <c r="E2" s="2561">
        <f>+IF(+ROUND(SUM(Status!O13:O39),2)+ROUND(SUM(Status!R13:R39),2)=0,0,"отчетено НЕРАВНЕНИЕ в таблица 'Status'!")</f>
        <v>0</v>
      </c>
      <c r="F2" s="2561"/>
      <c r="G2" s="2561"/>
      <c r="H2" s="2561"/>
      <c r="I2" s="225"/>
      <c r="J2" s="2574">
        <f>+IF(AND(Status!$R21=0,Status!$R22=0,Status!$R29=0),0,"Има грешки в КРАЙНИ салда!")</f>
        <v>0</v>
      </c>
      <c r="K2" s="2574"/>
      <c r="L2" s="225"/>
      <c r="M2" s="2574">
        <f>+IF(AND(Status!$R31=0,Status!$R33=0,Status!$R39=0),0,"Неравнение в НАЧАЛНИ салда!")</f>
        <v>0</v>
      </c>
      <c r="N2" s="257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 t="str">
        <f>+'TRIAL-BALANCE'!G4</f>
        <v>ГР. ГУЛЯНЦИ УЛ.ВАСИЛ ЛЕВСКИ 32</v>
      </c>
      <c r="B3" s="2550"/>
      <c r="C3" s="2550"/>
      <c r="D3" s="2551"/>
      <c r="E3" s="2210" t="s">
        <v>1205</v>
      </c>
      <c r="F3" s="227"/>
      <c r="G3" s="2566">
        <f>+'TRIAL-BALANCE'!J8</f>
        <v>0</v>
      </c>
      <c r="H3" s="2567"/>
      <c r="I3" s="225"/>
      <c r="J3" s="2211" t="s">
        <v>2109</v>
      </c>
      <c r="K3" s="2563">
        <f>+'TRIAL-BALANCE'!G6</f>
        <v>0</v>
      </c>
      <c r="L3" s="2564"/>
      <c r="M3" s="2564"/>
      <c r="N3" s="256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ОБЩИНА ГУЛЯНЦИ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31 март 2021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71">
        <f>+IF(Status!N2=0,0,+IF(Status!P4="ДА","ГРЕШКА - виж таблица 'Status' за с/ки 468Х!",0))</f>
        <v>0</v>
      </c>
      <c r="E6" s="2571"/>
      <c r="F6" s="232"/>
      <c r="G6" s="2572">
        <f>+IF(Status!N6=0,0,+IF(Status!P8="ДА","ГРЕШКА - виж таблица 'Status' за с/ки 468Х!",0))</f>
        <v>0</v>
      </c>
      <c r="H6" s="2573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1" t="s">
        <v>2181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2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3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4801748.12</v>
      </c>
      <c r="E13" s="619">
        <f>+ROUND((+'TRIAL-BALANCE'!O73+'TRIAL-BALANCE'!O74+'TRIAL-BALANCE'!O75+'TRIAL-BALANCE'!O76-'TRIAL-BALANCE'!P95),2)</f>
        <v>4814271.2300000004</v>
      </c>
      <c r="F13" s="248"/>
      <c r="G13" s="618">
        <f>+ROUND(+'TRIAL-BALANCE'!Z73+'TRIAL-BALANCE'!Z74+'TRIAL-BALANCE'!Z75+'TRIAL-BALANCE'!Z76-'TRIAL-BALANCE'!AA95,2)</f>
        <v>1630660.69</v>
      </c>
      <c r="H13" s="619">
        <f>+ROUND(+'TRIAL-BALANCE'!V73+'TRIAL-BALANCE'!V74+'TRIAL-BALANCE'!V75+'TRIAL-BALANCE'!V76-'TRIAL-BALANCE'!W95,2)</f>
        <v>1630660.69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6432408.8099999996</v>
      </c>
      <c r="N13" s="619">
        <f t="shared" si="0"/>
        <v>6444931.9199999999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2015</v>
      </c>
      <c r="B14" s="335">
        <v>12</v>
      </c>
      <c r="C14" s="233"/>
      <c r="D14" s="618">
        <f>+ROUND(+'TRIAL-BALANCE'!S77+'TRIAL-BALANCE'!S78+'TRIAL-BALANCE'!S79+'TRIAL-BALANCE'!S80-SUM('TRIAL-BALANCE'!T96:T97),2)</f>
        <v>5991614.8300000001</v>
      </c>
      <c r="E14" s="619">
        <f>+ROUND((+'TRIAL-BALANCE'!O77+'TRIAL-BALANCE'!O78+'TRIAL-BALANCE'!O79+'TRIAL-BALANCE'!O80-SUM('TRIAL-BALANCE'!P96:P97)),2)</f>
        <v>6069973.7199999997</v>
      </c>
      <c r="F14" s="248"/>
      <c r="G14" s="618">
        <f>+ROUND(+'TRIAL-BALANCE'!Z77+'TRIAL-BALANCE'!Z78+'TRIAL-BALANCE'!Z79+'TRIAL-BALANCE'!Z80-SUM('TRIAL-BALANCE'!AA96:AA97),2)</f>
        <v>164365.43</v>
      </c>
      <c r="H14" s="619">
        <f>+ROUND(+'TRIAL-BALANCE'!V77+'TRIAL-BALANCE'!V78+'TRIAL-BALANCE'!V79+'TRIAL-BALANCE'!V80-SUM('TRIAL-BALANCE'!W96:W97),2)</f>
        <v>164365.43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6155980.2599999998</v>
      </c>
      <c r="N14" s="619">
        <f t="shared" si="0"/>
        <v>6234339.1500000004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169101.46</v>
      </c>
      <c r="E15" s="619">
        <f>+ROUND((+'TRIAL-BALANCE'!O72+'TRIAL-BALANCE'!O81+'TRIAL-BALANCE'!O84+'TRIAL-BALANCE'!O85-'TRIAL-BALANCE'!P94-'TRIAL-BALANCE'!P98-'TRIAL-BALANCE'!P100),2)</f>
        <v>171975.88</v>
      </c>
      <c r="F15" s="248"/>
      <c r="G15" s="618">
        <f>+ROUND(+'TRIAL-BALANCE'!Z72+'TRIAL-BALANCE'!Z81+'TRIAL-BALANCE'!Z84+'TRIAL-BALANCE'!Z85-'TRIAL-BALANCE'!AA94-'TRIAL-BALANCE'!AA98-'TRIAL-BALANCE'!AA100,2)</f>
        <v>1308</v>
      </c>
      <c r="H15" s="619">
        <f>+ROUND(+'TRIAL-BALANCE'!V72+'TRIAL-BALANCE'!V81+'TRIAL-BALANCE'!V84+'TRIAL-BALANCE'!V85-'TRIAL-BALANCE'!W94-'TRIAL-BALANCE'!W98-'TRIAL-BALANCE'!W100,2)</f>
        <v>1308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170409.46</v>
      </c>
      <c r="N15" s="619">
        <f t="shared" si="0"/>
        <v>173283.88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6600</v>
      </c>
      <c r="E16" s="619">
        <f>+ROUND(+'TRIAL-BALANCE'!O82+'TRIAL-BALANCE'!O83,2)</f>
        <v>6600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2819705.69</v>
      </c>
      <c r="K16" s="619">
        <f>+ROUND(+'TRIAL-BALANCE'!AC82+'TRIAL-BALANCE'!AC83,2)</f>
        <v>2819705.69</v>
      </c>
      <c r="L16" s="248"/>
      <c r="M16" s="618">
        <f t="shared" si="0"/>
        <v>2826305.69</v>
      </c>
      <c r="N16" s="619">
        <f t="shared" si="0"/>
        <v>2826305.69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24135745.199999999</v>
      </c>
      <c r="K17" s="643">
        <f>+ROUND('TRIAL-BALANCE'!AC91-'TRIAL-BALANCE'!AD99,2)</f>
        <v>24678136.77</v>
      </c>
      <c r="L17" s="248"/>
      <c r="M17" s="618">
        <f t="shared" si="0"/>
        <v>24135745.199999999</v>
      </c>
      <c r="N17" s="619">
        <f t="shared" si="0"/>
        <v>24678136.77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736833.39</v>
      </c>
      <c r="E19" s="623">
        <f>+ROUND('TRIAL-BALANCE'!O71+'TRIAL-BALANCE'!O90,2)</f>
        <v>736833.39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30727061.109999999</v>
      </c>
      <c r="K19" s="629">
        <f>+ROUND(+'TRIAL-BALANCE'!AC71+'TRIAL-BALANCE'!AC90,2)</f>
        <v>30727061.109999999</v>
      </c>
      <c r="L19" s="248"/>
      <c r="M19" s="628">
        <f t="shared" si="0"/>
        <v>31463894.5</v>
      </c>
      <c r="N19" s="629">
        <f t="shared" si="0"/>
        <v>31463894.5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11705897.800000001</v>
      </c>
      <c r="E20" s="625">
        <f>+ROUND(+E13+E14+E15+E16+E17+E18+E19,2)</f>
        <v>11799654.220000001</v>
      </c>
      <c r="F20" s="248"/>
      <c r="G20" s="624">
        <f>+ROUND(+G13+G14+G15+G16+G17+G18+G19,2)</f>
        <v>1796334.12</v>
      </c>
      <c r="H20" s="625">
        <f>+ROUND(+H13+H14+H15+H16+H17+H18+H19,2)</f>
        <v>1796334.12</v>
      </c>
      <c r="I20" s="248"/>
      <c r="J20" s="624">
        <f>+ROUND(+J13+J14+J15+J16+J17+J18+J19,2)</f>
        <v>57682512</v>
      </c>
      <c r="K20" s="625">
        <f>+ROUND(+K13+K14+K15+K16+K17+K18+K19,2)</f>
        <v>58224903.57</v>
      </c>
      <c r="L20" s="248"/>
      <c r="M20" s="624">
        <f>+ROUND(+M13+M14+M15+M16+M17+M18+M19,2)</f>
        <v>71184743.920000002</v>
      </c>
      <c r="N20" s="625">
        <f>+ROUND(+N13+N14+N15+N16+N17+N18+N19,2)</f>
        <v>71820891.909999996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159225.34</v>
      </c>
      <c r="E22" s="625">
        <f>+ROUND(+'TRIAL-BALANCE'!O86+'TRIAL-BALANCE'!O87+'TRIAL-BALANCE'!O88+'TRIAL-BALANCE'!O89-'TRIAL-BALANCE'!P101,2)</f>
        <v>164825.85999999999</v>
      </c>
      <c r="F22" s="248"/>
      <c r="G22" s="624">
        <f>+ROUND(+'TRIAL-BALANCE'!Z86+'TRIAL-BALANCE'!Z87+'TRIAL-BALANCE'!Z88+'TRIAL-BALANCE'!Z89-'TRIAL-BALANCE'!AA101,2)</f>
        <v>6968</v>
      </c>
      <c r="H22" s="625">
        <f>+ROUND(+'TRIAL-BALANCE'!V86+'TRIAL-BALANCE'!V87+'TRIAL-BALANCE'!V88+'TRIAL-BALANCE'!V89-'TRIAL-BALANCE'!W101,2)</f>
        <v>6968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166193.34</v>
      </c>
      <c r="N22" s="625">
        <f>+ROUND(+E22+H22+K22,2)</f>
        <v>171793.86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334879.76</v>
      </c>
      <c r="E24" s="619">
        <f>+ROUND(+SUM('TRIAL-BALANCE'!O103:O107),2)</f>
        <v>346227.96</v>
      </c>
      <c r="F24" s="248"/>
      <c r="G24" s="618">
        <f>+ROUND(+SUM('TRIAL-BALANCE'!Z103:Z107),2)</f>
        <v>135393.22</v>
      </c>
      <c r="H24" s="619">
        <f>+ROUND(+SUM('TRIAL-BALANCE'!V103:V107),2)</f>
        <v>126808.22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470272.98</v>
      </c>
      <c r="N24" s="619">
        <f>+ROUND(+E24+H24+K24,2)</f>
        <v>473036.18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334879.76</v>
      </c>
      <c r="E26" s="625">
        <f>+ROUND(+E24+E25,2)</f>
        <v>346227.96</v>
      </c>
      <c r="F26" s="248"/>
      <c r="G26" s="624">
        <f>+ROUND(+G24+G25,2)</f>
        <v>135393.22</v>
      </c>
      <c r="H26" s="625">
        <f>+ROUND(+H24+H25,2)</f>
        <v>126808.22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470272.98</v>
      </c>
      <c r="N26" s="625">
        <f>+ROUND(+N24+N25,2)</f>
        <v>473036.18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12200002.9</v>
      </c>
      <c r="E28" s="654">
        <f>+ROUND(+E20+E22+E26,2)</f>
        <v>12310708.039999999</v>
      </c>
      <c r="F28" s="248"/>
      <c r="G28" s="653">
        <f>+ROUND(+G20+G22+G26,2)</f>
        <v>1938695.34</v>
      </c>
      <c r="H28" s="654">
        <f>+ROUND(+H20+H22+H26,2)</f>
        <v>1930110.34</v>
      </c>
      <c r="I28" s="248"/>
      <c r="J28" s="653">
        <f>+ROUND(+J20+J22+J26,2)</f>
        <v>57682512</v>
      </c>
      <c r="K28" s="654">
        <f>+ROUND(+K20+K22+K26,2)</f>
        <v>58224903.57</v>
      </c>
      <c r="L28" s="248"/>
      <c r="M28" s="653">
        <f>+ROUND(+M20+M22+M26,2)</f>
        <v>71821210.239999995</v>
      </c>
      <c r="N28" s="654">
        <f>+ROUND(+N20+N22+N26,2)</f>
        <v>72465721.950000003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963777.87</v>
      </c>
      <c r="E31" s="619">
        <f>+ROUND(+SUM('TRIAL-BALANCE'!O313:O320),2)</f>
        <v>964917.04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963777.87</v>
      </c>
      <c r="N31" s="619">
        <f t="shared" si="1"/>
        <v>964917.04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963777.87</v>
      </c>
      <c r="E34" s="625">
        <f>+ROUND(+E31+E32+E33,2)</f>
        <v>964917.04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963777.87</v>
      </c>
      <c r="N34" s="625">
        <f>+ROUND(+N31+N32+N33,2)</f>
        <v>964917.04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1956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1957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20000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20000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20000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20000</v>
      </c>
      <c r="O38" s="152"/>
      <c r="P38" s="1242" t="s">
        <v>1195</v>
      </c>
      <c r="Q38" s="1243" t="s">
        <v>1964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1983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416589.75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468937.34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416589.75</v>
      </c>
      <c r="N41" s="619">
        <f t="shared" si="2"/>
        <v>468937.34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36180.870000000003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31513.39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477044.81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477044.81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513225.68</v>
      </c>
      <c r="N42" s="619">
        <f t="shared" si="2"/>
        <v>508558.2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2021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2021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2021</v>
      </c>
      <c r="N43" s="619">
        <f t="shared" si="2"/>
        <v>2021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395015.78</v>
      </c>
      <c r="E44" s="619">
        <f>+ROUND(+SUM('TRIAL-BALANCE'!O200:O207),2)</f>
        <v>76497.42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230000</v>
      </c>
      <c r="K44" s="619">
        <f>+SUM('TRIAL-BALANCE'!AC200:AC207)</f>
        <v>20000</v>
      </c>
      <c r="L44" s="248"/>
      <c r="M44" s="618">
        <f>+ROUND(+D44+G44+J44,2)-ROUND(P44,2)</f>
        <v>625015.78</v>
      </c>
      <c r="N44" s="619">
        <f>+ROUND(+E44+H44+K44,2)-ROUND(Q44,2)</f>
        <v>96497.42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135801.26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131981.16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109469.62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155824.14000000001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245270.88</v>
      </c>
      <c r="N45" s="629">
        <f>+ROUND(+E45+H45+K45,2)-ROUND(Q45,2)</f>
        <v>287805.3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985608.66</v>
      </c>
      <c r="E46" s="625">
        <f>+ROUND(+E40+E41+E42+E43+E44+E45,2)</f>
        <v>710950.31</v>
      </c>
      <c r="F46" s="248"/>
      <c r="G46" s="624">
        <f>+ROUND(+G40+G41+G42+G43+G44+G45,2)</f>
        <v>586514.43000000005</v>
      </c>
      <c r="H46" s="625">
        <f>+ROUND(+H40+H41+H42+H43+H44+H45,2)</f>
        <v>632868.94999999995</v>
      </c>
      <c r="I46" s="248"/>
      <c r="J46" s="624">
        <f>+ROUND(+J40+J41+J42+J43+J44+J45,2)</f>
        <v>230000</v>
      </c>
      <c r="K46" s="625">
        <f>+ROUND(+K40+K41+K42+K43+K44+K45,2)</f>
        <v>20000</v>
      </c>
      <c r="L46" s="248"/>
      <c r="M46" s="624">
        <f>+ROUND(+M40+M41+M42+M43+M44+M45,2)</f>
        <v>1802123.09</v>
      </c>
      <c r="N46" s="625">
        <f>+ROUND(+N40+N41+N42+N43+N44+N45,2)</f>
        <v>1363819.26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6474.26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6474.26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3191940.69</v>
      </c>
      <c r="E49" s="629">
        <f>+ROUND(+SUM('TRIAL-BALANCE'!O286:O293)+SUM('TRIAL-BALANCE'!O296:O301)+SUM('TRIAL-BALANCE'!O303:O305),2)</f>
        <v>2699459.54</v>
      </c>
      <c r="F49" s="248"/>
      <c r="G49" s="628">
        <f>+ROUND(+SUM('TRIAL-BALANCE'!Z286:Z293)+SUM('TRIAL-BALANCE'!Z296:Z301)+SUM('TRIAL-BALANCE'!Z303:Z305),2)</f>
        <v>35991.85</v>
      </c>
      <c r="H49" s="629">
        <f>+ROUND(+SUM('TRIAL-BALANCE'!V286:V293)+SUM('TRIAL-BALANCE'!V296:V301)+SUM('TRIAL-BALANCE'!V303:V305),2)</f>
        <v>92989.67</v>
      </c>
      <c r="I49" s="248"/>
      <c r="J49" s="628">
        <f>+ROUND(+SUM('TRIAL-BALANCE'!AG286:AG293)+SUM('TRIAL-BALANCE'!AG296:AG301)+SUM('TRIAL-BALANCE'!AG303:AG305),2)</f>
        <v>389772.04</v>
      </c>
      <c r="K49" s="629">
        <f>+ROUND(+SUM('TRIAL-BALANCE'!AC286:AC293)+SUM('TRIAL-BALANCE'!AC296:AC301)+SUM('TRIAL-BALANCE'!AC303:AC305),2)</f>
        <v>593067.97</v>
      </c>
      <c r="L49" s="248"/>
      <c r="M49" s="628">
        <f>+ROUND(+D49+G49+J49,2)</f>
        <v>3617704.58</v>
      </c>
      <c r="N49" s="629">
        <f>+ROUND(+E49+H49+K49,2)</f>
        <v>3385517.18</v>
      </c>
      <c r="O49" s="152"/>
      <c r="P49" s="2542" t="str">
        <f>+IF(+AND(Status!K4="ДА",+ROUND('Intra-Balances'!S51,2)-ROUND('Intra-Balances'!S53,2)&lt;&gt;0),"сумите за елиминиране в 'Intra-Balances' не са равни!","O K")</f>
        <v>O K</v>
      </c>
      <c r="Q49" s="254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3198414.95</v>
      </c>
      <c r="E50" s="625">
        <f>+ROUND(+E48+E49,2)</f>
        <v>2699459.54</v>
      </c>
      <c r="F50" s="248"/>
      <c r="G50" s="624">
        <f>+ROUND(+G48+G49,2)</f>
        <v>35991.85</v>
      </c>
      <c r="H50" s="625">
        <f>+ROUND(+H48+H49,2)</f>
        <v>92989.67</v>
      </c>
      <c r="I50" s="248"/>
      <c r="J50" s="624">
        <f>+ROUND(+J48+J49,2)</f>
        <v>389772.04</v>
      </c>
      <c r="K50" s="625">
        <f>+ROUND(+K48+K49,2)</f>
        <v>593067.97</v>
      </c>
      <c r="L50" s="248"/>
      <c r="M50" s="624">
        <f>+ROUND(+M48+M49,2)</f>
        <v>3624178.84</v>
      </c>
      <c r="N50" s="625">
        <f>+ROUND(+N48+N49,2)</f>
        <v>3385517.18</v>
      </c>
      <c r="O50" s="152"/>
      <c r="P50" s="2543" t="str">
        <f>+IF(+AND(Status!K4="ДА",+ROUND('Intra-Balances'!P51,2)-ROUND('Intra-Balances'!P53,2)&lt;&gt;0),"сумите за елиминиране в 'Intra-Balances' не са равни!","O K")</f>
        <v>O K</v>
      </c>
      <c r="Q50" s="254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5147801.4800000004</v>
      </c>
      <c r="E52" s="654">
        <f>+ROUND(+E34+E38+E46+E50,2)</f>
        <v>4395326.8899999997</v>
      </c>
      <c r="F52" s="248"/>
      <c r="G52" s="653">
        <f>+ROUND(+G34+G38+G46+G50,2)</f>
        <v>622506.28</v>
      </c>
      <c r="H52" s="654">
        <f>+ROUND(+H34+H38+H46+H50,2)</f>
        <v>725858.62</v>
      </c>
      <c r="I52" s="248"/>
      <c r="J52" s="653">
        <f>+ROUND(+J34+J38+J46+J50,2)</f>
        <v>619772.04</v>
      </c>
      <c r="K52" s="654">
        <f>+ROUND(+K34+K38+K46+K50,2)</f>
        <v>613067.97</v>
      </c>
      <c r="L52" s="248"/>
      <c r="M52" s="653">
        <f>+ROUND(+M34+M38+M46+M50,2)</f>
        <v>6390079.7999999998</v>
      </c>
      <c r="N52" s="654">
        <f>+ROUND(+N34+N38+N46+N50,2)</f>
        <v>5734253.4800000004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17347804.379999999</v>
      </c>
      <c r="E54" s="685">
        <f>+ROUND(+E28+E52,2)</f>
        <v>16706034.93</v>
      </c>
      <c r="F54" s="248"/>
      <c r="G54" s="684">
        <f>+ROUND(+G28+G52,2)</f>
        <v>2561201.62</v>
      </c>
      <c r="H54" s="685">
        <f>+ROUND(+H28+H52,2)</f>
        <v>2655968.96</v>
      </c>
      <c r="I54" s="248"/>
      <c r="J54" s="684">
        <f>+ROUND(+J28+J52,2)</f>
        <v>58302284.039999999</v>
      </c>
      <c r="K54" s="685">
        <f>+ROUND(+K28+K52,2)</f>
        <v>58837971.539999999</v>
      </c>
      <c r="L54" s="248"/>
      <c r="M54" s="684">
        <f>+ROUND(+M28+M52,2)</f>
        <v>78211290.040000007</v>
      </c>
      <c r="N54" s="685">
        <f>+ROUND(+N28+N52,2)</f>
        <v>78199975.430000007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2464413.37</v>
      </c>
      <c r="E55" s="633">
        <f>+ROUND(+SUM('TRIAL-BALANCE'!O832:O834)+SUM('TRIAL-BALANCE'!O837:O841)+'TRIAL-BALANCE'!O846+SUM('TRIAL-BALANCE'!O858:O858)+'TRIAL-BALANCE'!O884+'TRIAL-BALANCE'!O887-'TRIAL-BALANCE'!O887,2)</f>
        <v>2451109.75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455052.03</v>
      </c>
      <c r="H55" s="633">
        <f>+ROUND(+SUM('TRIAL-BALANCE'!V832:V834)+SUM('TRIAL-BALANCE'!V837:V841)+'TRIAL-BALANCE'!V846+SUM('TRIAL-BALANCE'!V858:V858)+'TRIAL-BALANCE'!V884+'TRIAL-BALANCE'!V887-'TRIAL-BALANCE'!V887,2)</f>
        <v>477220.38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2919465.4</v>
      </c>
      <c r="N55" s="633">
        <f>+ROUND(+E55+H55+K55,2)</f>
        <v>2928330.13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2181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12969320.109999999</v>
      </c>
      <c r="E63" s="649">
        <f>+ROUND('R &amp; E data-2020'!P14-'R &amp; E data-2020'!O14,2)</f>
        <v>12969320.109999999</v>
      </c>
      <c r="F63" s="248"/>
      <c r="G63" s="642">
        <f>+ROUND(+'TRIAL-BALANCE'!AA14-'TRIAL-BALANCE'!Z14,2)</f>
        <v>7499.05</v>
      </c>
      <c r="H63" s="643">
        <f>+ROUND('R &amp; E data-2020'!S14-'R &amp; E data-2020'!R14,2)</f>
        <v>7499.05</v>
      </c>
      <c r="I63" s="248"/>
      <c r="J63" s="642">
        <f>+ROUND(+'TRIAL-BALANCE'!AH14-'TRIAL-BALANCE'!AG14,2)</f>
        <v>18726.54</v>
      </c>
      <c r="K63" s="643">
        <f>+ROUND('R &amp; E data-2020'!V14-'R &amp; E data-2020'!U14,2)</f>
        <v>18726.54</v>
      </c>
      <c r="L63" s="248"/>
      <c r="M63" s="642">
        <f>+ROUND(+D63+G63+J63,2)</f>
        <v>12995545.699999999</v>
      </c>
      <c r="N63" s="643">
        <f>+ROUND(+E63+H63+K63,2)</f>
        <v>12995545.699999999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3068237.54</v>
      </c>
      <c r="E64" s="643">
        <f>+ROUND('R &amp; E data-2020'!P15-'R &amp; E data-2020'!O15,2)</f>
        <v>1088949.8</v>
      </c>
      <c r="F64" s="248"/>
      <c r="G64" s="642">
        <f>+ROUND(+'TRIAL-BALANCE'!AA15-'TRIAL-BALANCE'!Z15,2)</f>
        <v>-1829431.81</v>
      </c>
      <c r="H64" s="643">
        <f>+ROUND('R &amp; E data-2020'!S15-'R &amp; E data-2020'!R15,2)</f>
        <v>4051593.34</v>
      </c>
      <c r="I64" s="248"/>
      <c r="J64" s="642">
        <f>+ROUND(+'TRIAL-BALANCE'!AH15-'TRIAL-BALANCE'!AG15,2)</f>
        <v>58206177.030000001</v>
      </c>
      <c r="K64" s="643">
        <f>+ROUND('R &amp; E data-2020'!V15-'R &amp; E data-2020'!U15,2)</f>
        <v>53343885.130000003</v>
      </c>
      <c r="L64" s="248"/>
      <c r="M64" s="642">
        <f>+ROUND(+D64+G64+J64,2)+ROUND(P64,2)</f>
        <v>59444982.759999998</v>
      </c>
      <c r="N64" s="643">
        <f>+ROUND(+E64+H64+K64,2)+ROUND(Q64,2)</f>
        <v>58484428.270000003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908120.01</v>
      </c>
      <c r="E65" s="623">
        <f>+ROUND('R &amp; E data-2020'!P462-'R &amp; E data-2020'!O462,2)</f>
        <v>1979287.74</v>
      </c>
      <c r="F65" s="248"/>
      <c r="G65" s="622">
        <f>+ROUND(+SUM('TRIAL-BALANCE'!AA384:AA828)-SUM('TRIAL-BALANCE'!Z384:Z828),2)</f>
        <v>-371863.11</v>
      </c>
      <c r="H65" s="623">
        <f>+ROUND('R &amp; E data-2020'!S462-'R &amp; E data-2020'!R462,2)</f>
        <v>-5881025.1500000004</v>
      </c>
      <c r="I65" s="248"/>
      <c r="J65" s="622">
        <f>+ROUND(+SUM('TRIAL-BALANCE'!AH384:AH828)-SUM('TRIAL-BALANCE'!AG384:AG828),2)</f>
        <v>-542391.56999999995</v>
      </c>
      <c r="K65" s="623">
        <f>+ROUND('R &amp; E data-2020'!V462-'R &amp; E data-2020'!U462,2)</f>
        <v>4862291.9000000004</v>
      </c>
      <c r="L65" s="248"/>
      <c r="M65" s="622">
        <f>+ROUND(+D65+G65+J65,2)+ROUND(P65,2)</f>
        <v>-6134.67</v>
      </c>
      <c r="N65" s="623">
        <f>+ROUND(+E65+H65+K65,2)+ROUND(Q65,2)</f>
        <v>960554.49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16945677.66</v>
      </c>
      <c r="E66" s="654">
        <f>+ROUND(+E63+E64+E65,2)</f>
        <v>16037557.65</v>
      </c>
      <c r="F66" s="248"/>
      <c r="G66" s="653">
        <f>+ROUND(+G63+G64+G65,2)</f>
        <v>-2193795.87</v>
      </c>
      <c r="H66" s="654">
        <f>+ROUND(+H63+H64+H65,2)</f>
        <v>-1821932.76</v>
      </c>
      <c r="I66" s="248"/>
      <c r="J66" s="653">
        <f>+ROUND(+J63+J64+J65,2)</f>
        <v>57682512</v>
      </c>
      <c r="K66" s="654">
        <f>+ROUND(+K63+K64+K65,2)</f>
        <v>58224903.57</v>
      </c>
      <c r="L66" s="248"/>
      <c r="M66" s="653">
        <f>+ROUND(+M63+M64+M65,2)</f>
        <v>72434393.790000007</v>
      </c>
      <c r="N66" s="654">
        <f>+ROUND(+N63+N64+N65,2)</f>
        <v>72440528.459999993</v>
      </c>
      <c r="O66" s="152"/>
      <c r="P66" s="254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4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2180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2186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3596.84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62721.760000000002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4339283.09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4330426.8899999997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4342879.93</v>
      </c>
      <c r="N75" s="619">
        <f t="shared" si="5"/>
        <v>4393148.6500000004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1965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26557.73</v>
      </c>
      <c r="E78" s="643">
        <f>+ROUND(+'TRIAL-BALANCE'!P180+'TRIAL-BALANCE'!P181+'TRIAL-BALANCE'!P182+'TRIAL-BALANCE'!P183+'TRIAL-BALANCE'!P187,2)</f>
        <v>13217.33</v>
      </c>
      <c r="F78" s="248"/>
      <c r="G78" s="642">
        <f>+ROUND(+'TRIAL-BALANCE'!AA180+'TRIAL-BALANCE'!AA181+'TRIAL-BALANCE'!AA182+'TRIAL-BALANCE'!AA183+'TRIAL-BALANCE'!AA187,2)</f>
        <v>1564.96</v>
      </c>
      <c r="H78" s="643">
        <f>+ROUND(+'TRIAL-BALANCE'!W180+'TRIAL-BALANCE'!W181+'TRIAL-BALANCE'!W182+'TRIAL-BALANCE'!W183+'TRIAL-BALANCE'!W187,2)</f>
        <v>3278.31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28122.69</v>
      </c>
      <c r="N78" s="619">
        <f>+ROUND(+E78+H78+K78,2)-ROUND(Q78,2)</f>
        <v>16495.64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10009.530000000001</v>
      </c>
      <c r="E79" s="619">
        <f>+ROUND(+'TRIAL-BALANCE'!P191+'TRIAL-BALANCE'!P192+'TRIAL-BALANCE'!P193+'TRIAL-BALANCE'!P194,2)</f>
        <v>42765.58</v>
      </c>
      <c r="F79" s="248"/>
      <c r="G79" s="618">
        <f>+ROUND(+'TRIAL-BALANCE'!AA191+'TRIAL-BALANCE'!AA192+'TRIAL-BALANCE'!AA193+'TRIAL-BALANCE'!AA194,2)</f>
        <v>5989.31</v>
      </c>
      <c r="H79" s="619">
        <f>+ROUND(+'TRIAL-BALANCE'!W191+'TRIAL-BALANCE'!W192+'TRIAL-BALANCE'!W193+'TRIAL-BALANCE'!W194,2)</f>
        <v>19399.310000000001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15998.84</v>
      </c>
      <c r="N79" s="619">
        <f t="shared" si="5"/>
        <v>62164.89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22348.52</v>
      </c>
      <c r="E80" s="619">
        <f>+ROUND(+'TRIAL-BALANCE'!P128+'TRIAL-BALANCE'!P130-SUM('TRIAL-BALANCE'!O277:O278)+SUM('TRIAL-BALANCE'!P277:P278),2)</f>
        <v>102552.01</v>
      </c>
      <c r="F80" s="248"/>
      <c r="G80" s="618">
        <f>+ROUND(+'TRIAL-BALANCE'!AA128+'TRIAL-BALANCE'!AA130-SUM('TRIAL-BALANCE'!Z277:Z278)+SUM('TRIAL-BALANCE'!AA277:AA278),2)</f>
        <v>13144.35</v>
      </c>
      <c r="H80" s="619">
        <f>+ROUND(+'TRIAL-BALANCE'!W128+'TRIAL-BALANCE'!W130-SUM('TRIAL-BALANCE'!V277:V278)+SUM('TRIAL-BALANCE'!W277:W278),2)</f>
        <v>48299.79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35492.870000000003</v>
      </c>
      <c r="N80" s="619">
        <f t="shared" si="5"/>
        <v>150851.79999999999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230000</v>
      </c>
      <c r="E81" s="619">
        <f>+ROUND(+SUM('TRIAL-BALANCE'!P200:P207),2)</f>
        <v>20000</v>
      </c>
      <c r="F81" s="248"/>
      <c r="G81" s="618">
        <f>+ROUND(+SUM('TRIAL-BALANCE'!AA200:AA207),2)</f>
        <v>395015.78</v>
      </c>
      <c r="H81" s="619">
        <f>+ROUND(+SUM('TRIAL-BALANCE'!W200:W207),2)</f>
        <v>76497.42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625015.78</v>
      </c>
      <c r="N81" s="619">
        <f>+ROUND(+E81+H81+K81,2)-ROUND(Q81,2)</f>
        <v>96497.42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109605.1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155974.57999999999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619772.04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613067.97</v>
      </c>
      <c r="L82" s="248"/>
      <c r="M82" s="628">
        <f>+ROUND(+D82+G82+J82,2)-ROUND(P82,2)</f>
        <v>729377.14</v>
      </c>
      <c r="N82" s="629">
        <f>+ROUND(+E82+H82+K82,2)-ROUND(Q82,2)</f>
        <v>769042.55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402117.72</v>
      </c>
      <c r="E83" s="651">
        <f>+ROUND(SUM(E74:E82),2)</f>
        <v>397231.26</v>
      </c>
      <c r="F83" s="248"/>
      <c r="G83" s="650">
        <f>+ROUND(SUM(G74:G82),2)</f>
        <v>4754997.49</v>
      </c>
      <c r="H83" s="651">
        <f>+ROUND(SUM(H74:H82),2)</f>
        <v>4477901.72</v>
      </c>
      <c r="I83" s="248"/>
      <c r="J83" s="650">
        <f>+ROUND(SUM(J74:J82),2)</f>
        <v>619772.04</v>
      </c>
      <c r="K83" s="651">
        <f>+ROUND(SUM(K74:K82),2)</f>
        <v>613067.97</v>
      </c>
      <c r="L83" s="248"/>
      <c r="M83" s="650">
        <f>+ROUND(SUM(M74:M82),2)</f>
        <v>5776887.25</v>
      </c>
      <c r="N83" s="651">
        <f>+ROUND(SUM(N74:N82),2)</f>
        <v>5488200.9500000002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9</v>
      </c>
      <c r="E85" s="619">
        <f>+ROUND(+'TRIAL-BALANCE'!P132+'TRIAL-BALANCE'!P266,2)</f>
        <v>262761.02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9</v>
      </c>
      <c r="N85" s="619">
        <f>+ROUND(+E85+H85+K85,2)</f>
        <v>262761.02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8485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8485</v>
      </c>
      <c r="O86" s="152"/>
      <c r="P86" s="2542" t="str">
        <f>+IF(+AND(Status!K4="ДА",+ROUND('Intra-Balances'!S55,2)-ROUND('Intra-Balances'!S57,2)&lt;&gt;0),"сумите за елиминиране в 'Intra-Balances' не са равни!","O K")</f>
        <v>O K</v>
      </c>
      <c r="Q86" s="254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9</v>
      </c>
      <c r="E87" s="625">
        <f>+ROUND(+E85+E86,2)</f>
        <v>271246.02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9</v>
      </c>
      <c r="N87" s="625">
        <f>+ROUND(+N85+N86,2)</f>
        <v>271246.02</v>
      </c>
      <c r="O87" s="152"/>
      <c r="P87" s="2543" t="str">
        <f>+IF(+AND(Status!K4="ДА",+ROUND('Intra-Balances'!P55,2)-ROUND('Intra-Balances'!P57,2)&lt;&gt;0),"сумите за елиминиране в 'Intra-Balances' не са равни!","O K")</f>
        <v>O K</v>
      </c>
      <c r="Q87" s="254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402126.72</v>
      </c>
      <c r="E89" s="654">
        <f>+ROUND(+E72+E83+E87,2)</f>
        <v>668477.28</v>
      </c>
      <c r="F89" s="248"/>
      <c r="G89" s="655">
        <f>+ROUND(+G72+G83+G87,2)</f>
        <v>4754997.49</v>
      </c>
      <c r="H89" s="656">
        <f>+ROUND(+H72+H83+H87,2)</f>
        <v>4477901.72</v>
      </c>
      <c r="I89" s="248"/>
      <c r="J89" s="653">
        <f>+ROUND(+J72+J83+J87,2)</f>
        <v>619772.04</v>
      </c>
      <c r="K89" s="654">
        <f>+ROUND(+K72+K83+K87,2)</f>
        <v>613067.97</v>
      </c>
      <c r="L89" s="248"/>
      <c r="M89" s="653">
        <f>+ROUND(+M72+M83+M87,2)</f>
        <v>5776896.25</v>
      </c>
      <c r="N89" s="656">
        <f>+ROUND(+N72+N83+N87,2)</f>
        <v>5759446.9699999997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17347804.379999999</v>
      </c>
      <c r="E91" s="1467">
        <f>ROUND(+E66+E89,2)</f>
        <v>16706034.93</v>
      </c>
      <c r="F91" s="248"/>
      <c r="G91" s="1466">
        <f>ROUND(+G66+G89,2)</f>
        <v>2561201.62</v>
      </c>
      <c r="H91" s="1467">
        <f>ROUND(+H66+H89,2)</f>
        <v>2655968.96</v>
      </c>
      <c r="I91" s="248"/>
      <c r="J91" s="1466">
        <f>ROUND(+J66+J89,2)</f>
        <v>58302284.039999999</v>
      </c>
      <c r="K91" s="1467">
        <f>ROUND(+K66+K89,2)</f>
        <v>58837971.539999999</v>
      </c>
      <c r="L91" s="248"/>
      <c r="M91" s="1466">
        <f>ROUND(+M66+M89,2)</f>
        <v>78211290.040000007</v>
      </c>
      <c r="N91" s="1467">
        <f>ROUND(+N66+N89,2)</f>
        <v>78199975.430000007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4302212.18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1677221.68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5227971.5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5456930.8200000003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9530183.6799999997</v>
      </c>
      <c r="N92" s="633">
        <f>+ROUND(+E92+H92+K92,2)</f>
        <v>7134152.5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1979</v>
      </c>
      <c r="C96" s="233"/>
      <c r="D96" s="2035">
        <f>+'TRIAL-BALANCE'!K10</f>
        <v>44314</v>
      </c>
      <c r="E96" s="2180" t="s">
        <v>1975</v>
      </c>
      <c r="F96" s="233"/>
      <c r="G96" s="242"/>
      <c r="H96" s="2129"/>
      <c r="I96" s="2130"/>
      <c r="J96" s="2131" t="s">
        <v>1977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62" t="str">
        <f>+'Provisions-2021'!H73:J73</f>
        <v>Стела Иванова</v>
      </c>
      <c r="I97" s="2562"/>
      <c r="J97" s="2562"/>
      <c r="K97" s="236"/>
      <c r="L97" s="236"/>
      <c r="M97" s="2562" t="str">
        <f>+'Provisions-2021'!M73:N73</f>
        <v>Лъчезар Яков</v>
      </c>
      <c r="N97" s="2562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2148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'BALANCE-SHEET-2021'!Print_Area</vt:lpstr>
      <vt:lpstr>'BALANCE-SHEET-2021-leva'!Print_Area</vt:lpstr>
      <vt:lpstr>'Cash-deficit'!Print_Area</vt:lpstr>
      <vt:lpstr>'DES-TRIAL-BAL-2021'!Print_Area</vt:lpstr>
      <vt:lpstr>'DMP-TRIAL-BAL-2021'!Print_Area</vt:lpstr>
      <vt:lpstr>Guidelines!Print_Area</vt:lpstr>
      <vt:lpstr>'Income-2021'!Print_Area</vt:lpstr>
      <vt:lpstr>'Income-2021-leva'!Print_Area</vt:lpstr>
      <vt:lpstr>'Intra-Balances'!Print_Area</vt:lpstr>
      <vt:lpstr>'Local-&amp;-SSF'!Print_Area</vt:lpstr>
      <vt:lpstr>'Municipal-Bal'!Print_Area</vt:lpstr>
      <vt:lpstr>'NF-KSF-TRIAL-BAL-2021'!Print_Area</vt:lpstr>
      <vt:lpstr>'Provisions-2021'!Print_Area</vt:lpstr>
      <vt:lpstr>'R &amp; E data-2020'!Print_Area</vt:lpstr>
      <vt:lpstr>'RA-TRIAL-BAL-2021'!Print_Area</vt:lpstr>
      <vt:lpstr>Status!Print_Area</vt:lpstr>
      <vt:lpstr>'TRIAL-BALANCE'!Print_Area</vt:lpstr>
      <vt:lpstr>'BALANCE-SHEET-2021'!Print_Titles</vt:lpstr>
      <vt:lpstr>'BALANCE-SHEET-2021-leva'!Print_Titles</vt:lpstr>
      <vt:lpstr>'DES-TRIAL-BAL-2021'!Print_Titles</vt:lpstr>
      <vt:lpstr>'DMP-TRIAL-BAL-2021'!Print_Titles</vt:lpstr>
      <vt:lpstr>'Income-2021'!Print_Titles</vt:lpstr>
      <vt:lpstr>'Income-2021-leva'!Print_Titles</vt:lpstr>
      <vt:lpstr>'Intra-Balances'!Print_Titles</vt:lpstr>
      <vt:lpstr>'Local-&amp;-SSF'!Print_Titles</vt:lpstr>
      <vt:lpstr>'Municipal-Bal'!Print_Titles</vt:lpstr>
      <vt:lpstr>'NF-KSF-TRIAL-BAL-2021'!Print_Titles</vt:lpstr>
      <vt:lpstr>'Provisions-2021'!Print_Titles</vt:lpstr>
      <vt:lpstr>'R &amp; E data-2020'!Print_Titles</vt:lpstr>
      <vt:lpstr>'RA-TRIAL-BAL-2021'!Print_Titles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StelaAsRock</dc:creator>
  <cp:lastModifiedBy>StelaAsRock</cp:lastModifiedBy>
  <cp:lastPrinted>2020-01-13T15:30:12Z</cp:lastPrinted>
  <dcterms:created xsi:type="dcterms:W3CDTF">2002-02-28T16:53:59Z</dcterms:created>
  <dcterms:modified xsi:type="dcterms:W3CDTF">2021-04-28T10:13:47Z</dcterms:modified>
</cp:coreProperties>
</file>